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gc1.local\MainFS\bdef\DE\Общая\диск R\ТГК\Стандарты раскрытия\2024\Файлы без ФИО\"/>
    </mc:Choice>
  </mc:AlternateContent>
  <bookViews>
    <workbookView xWindow="0" yWindow="0" windowWidth="28800" windowHeight="12300" tabRatio="852"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state="hidden" r:id="rId12"/>
    <sheet name="ТС. Т-ТЭ | предел" sheetId="13" state="hidden" r:id="rId13"/>
    <sheet name="ТС. Т-ТЭ | индикат" sheetId="14" state="hidden" r:id="rId14"/>
    <sheet name="ТС. Резерв мощности" sheetId="15" r:id="rId15"/>
    <sheet name="ТС. Т-ТН" sheetId="16" r:id="rId16"/>
    <sheet name="ТС. Т-передача ТЭ" sheetId="17" state="hidden" r:id="rId17"/>
    <sheet name="ТС. Т-передача ТН" sheetId="18" state="hidden" r:id="rId18"/>
    <sheet name="ТС. Т-гор.вода" sheetId="19"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&gt;=25МВт'!$108:$110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Т-гор.вода'!$78:$80</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&gt;=25МВт'!$111:$114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Т-гор.вода'!$81:$83</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тарифов'!$91:$115</definedName>
    <definedName name="BLOCK_PT_HEAT">'Перечень тарифов'!$13:$89</definedName>
    <definedName name="BLOCK_PT_HEAT_NOT_R">'Перечень тарифов'!$75:$79</definedName>
    <definedName name="BLOCK_PT_HEAT_NOT_R_TMP">'Перечень тарифов'!$70:$74</definedName>
    <definedName name="BLOCK_PT_HEAT_PHEAT">'Перечень тарифов'!$35:$39</definedName>
    <definedName name="BLOCK_PT_HEAT_PHEAT_HIDDEN_FORMULAS">'Перечень тарифов'!$Z$35:$AQ$35</definedName>
    <definedName name="BLOCK_PT_HEAT_RHEAT">'Перечень тарифов'!$30:$34</definedName>
    <definedName name="BLOCK_PT_HEAT_RHEAT_HIDDEN_FORMULAS">'Перечень тарифов'!$Z$30:$AQ$30</definedName>
    <definedName name="BLOCK_PT_HOTVSNA">'Перечень тарифов'!$117:$131</definedName>
    <definedName name="BLOCK_PT_VOTV">'Перечень тарифов'!$133:$147</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тарифов'!$Z$12:$Z$149</definedName>
    <definedName name="DIFFERENTIATION_TARIFF_VD_ID">'Перечень тарифов'!$AB$12:$AB$149</definedName>
    <definedName name="DIFFERENTIATION_TARIFF_VTAR_ID">'Перечень тарифов'!$AA$12:$AA$149</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Предложение!$L$91</definedName>
    <definedName name="OFFER_METHOD">Предложение!$K$24:$K$89</definedName>
    <definedName name="OFFER_METHOD_FLAG">TEHSHEET!$L$6</definedName>
    <definedName name="OFFER_TARIFF_A_1">Предложение!$24:$32</definedName>
    <definedName name="OFFER_TARIFF_A_2">Предложение!$93:$101</definedName>
    <definedName name="OFFER_TARIFF_A_3">Предложение!$160:$168</definedName>
    <definedName name="OFFER_TARIFF_A_4">Предложение!$227:$235</definedName>
    <definedName name="OFFER_TARIFF_A_5">Предложение!$294:$302</definedName>
    <definedName name="OFFER_TARIFF_A_COLDVSNA_1">Предложение!$57:$59</definedName>
    <definedName name="OFFER_TARIFF_A_COLDVSNA_2">Предложение!$126:$128</definedName>
    <definedName name="OFFER_TARIFF_A_COLDVSNA_3">Предложение!$193:$195</definedName>
    <definedName name="OFFER_TARIFF_A_COLDVSNA_4">Предложение!$260:$262</definedName>
    <definedName name="OFFER_TARIFF_A_COLDVSNA_5">Предложение!$327:$329</definedName>
    <definedName name="OFFER_TARIFF_A_HOTVSNA_1">Предложение!$72:$74</definedName>
    <definedName name="OFFER_TARIFF_A_HOTVSNA_2">Предложение!$141:$143</definedName>
    <definedName name="OFFER_TARIFF_A_HOTVSNA_3">Предложение!$208:$210</definedName>
    <definedName name="OFFER_TARIFF_A_HOTVSNA_4">Предложение!$275:$277</definedName>
    <definedName name="OFFER_TARIFF_A_HOTVSNA_5">Предложение!$342:$344</definedName>
    <definedName name="OFFER_TARIFF_A_VOTV_1">Предложение!$81:$83</definedName>
    <definedName name="OFFER_TARIFF_A_VOTV_2">Предложение!$150:$152</definedName>
    <definedName name="OFFER_TARIFF_A_VOTV_3">Предложение!$217:$219</definedName>
    <definedName name="OFFER_TARIFF_A_VOTV_4">Предложение!$284:$286</definedName>
    <definedName name="OFFER_TARIFF_A_VOTV_5">Предложение!$351:$353</definedName>
    <definedName name="OFFER_TARIFF_B_1">Предложение!$33:$35</definedName>
    <definedName name="OFFER_TARIFF_B_2">Предложение!$102:$104</definedName>
    <definedName name="OFFER_TARIFF_B_3">Предложение!$169:$171</definedName>
    <definedName name="OFFER_TARIFF_B_4">Предложение!$236:$238</definedName>
    <definedName name="OFFER_TARIFF_B_5">Предложение!$303:$305</definedName>
    <definedName name="OFFER_TARIFF_B_COLDVSNA_1">Предложение!$60:$62</definedName>
    <definedName name="OFFER_TARIFF_B_COLDVSNA_2">Предложение!$129:$131</definedName>
    <definedName name="OFFER_TARIFF_B_COLDVSNA_3">Предложение!$196:$198</definedName>
    <definedName name="OFFER_TARIFF_B_COLDVSNA_4">Предложение!$263:$265</definedName>
    <definedName name="OFFER_TARIFF_B_COLDVSNA_5">Предложение!$330:$332</definedName>
    <definedName name="OFFER_TARIFF_B_HOTVSNA_1">Предложение!$75:$77</definedName>
    <definedName name="OFFER_TARIFF_B_HOTVSNA_2">Предложение!$144:$146</definedName>
    <definedName name="OFFER_TARIFF_B_HOTVSNA_3">Предложение!$211:$213</definedName>
    <definedName name="OFFER_TARIFF_B_HOTVSNA_4">Предложение!$278:$280</definedName>
    <definedName name="OFFER_TARIFF_B_HOTVSNA_5">Предложение!$345:$347</definedName>
    <definedName name="OFFER_TARIFF_B_VOTV_1">Предложение!$84:$86</definedName>
    <definedName name="OFFER_TARIFF_B_VOTV_2">Предложение!$153:$155</definedName>
    <definedName name="OFFER_TARIFF_B_VOTV_3">Предложение!$220:$222</definedName>
    <definedName name="OFFER_TARIFF_B_VOTV_4">Предложение!$287:$289</definedName>
    <definedName name="OFFER_TARIFF_B_VOTV_5">Предложение!$354:$356</definedName>
    <definedName name="OFFER_TARIFF_C_1">Предложение!$36:$38</definedName>
    <definedName name="OFFER_TARIFF_C_2">Предложение!$105:$107</definedName>
    <definedName name="OFFER_TARIFF_C_3">Предложение!$172:$174</definedName>
    <definedName name="OFFER_TARIFF_C_4">Предложение!$239:$241</definedName>
    <definedName name="OFFER_TARIFF_C_5">Предложение!$306:$308</definedName>
    <definedName name="OFFER_TARIFF_C_COLDVSNA_1">Предложение!$63:$65</definedName>
    <definedName name="OFFER_TARIFF_C_COLDVSNA_2">Предложение!$132:$134</definedName>
    <definedName name="OFFER_TARIFF_C_COLDVSNA_3">Предложение!$199:$201</definedName>
    <definedName name="OFFER_TARIFF_C_COLDVSNA_4">Предложение!$266:$268</definedName>
    <definedName name="OFFER_TARIFF_C_COLDVSNA_5">Предложение!$333:$335</definedName>
    <definedName name="OFFER_TARIFF_C_HOTVSNA_1">Предложение!$78:$80</definedName>
    <definedName name="OFFER_TARIFF_C_HOTVSNA_2">Предложение!$147:$149</definedName>
    <definedName name="OFFER_TARIFF_C_HOTVSNA_3">Предложение!$214:$216</definedName>
    <definedName name="OFFER_TARIFF_C_HOTVSNA_4">Предложение!$281:$283</definedName>
    <definedName name="OFFER_TARIFF_C_HOTVSNA_5">Предложение!$348:$350</definedName>
    <definedName name="OFFER_TARIFF_C_VOTV_1">Предложение!$87:$89</definedName>
    <definedName name="OFFER_TARIFF_C_VOTV_2">Предложение!$156:$158</definedName>
    <definedName name="OFFER_TARIFF_C_VOTV_3">Предложение!$223:$225</definedName>
    <definedName name="OFFER_TARIFF_C_VOTV_4">Предложение!$290:$292</definedName>
    <definedName name="OFFER_TARIFF_C_VOTV_5">Предложение!$357:$359</definedName>
    <definedName name="OFFER_TARIFF_D_1">Предложение!$39:$41</definedName>
    <definedName name="OFFER_TARIFF_D_2">Предложение!$108:$110</definedName>
    <definedName name="OFFER_TARIFF_D_3">Предложение!$175:$177</definedName>
    <definedName name="OFFER_TARIFF_D_4">Предложение!$242:$244</definedName>
    <definedName name="OFFER_TARIFF_D_5">Предложение!$309:$311</definedName>
    <definedName name="OFFER_TARIFF_D_COLDVSNA_1">Предложение!$66:$68</definedName>
    <definedName name="OFFER_TARIFF_D_COLDVSNA_2">Предложение!$135:$137</definedName>
    <definedName name="OFFER_TARIFF_D_COLDVSNA_3">Предложение!$202:$204</definedName>
    <definedName name="OFFER_TARIFF_D_COLDVSNA_4">Предложение!$269:$271</definedName>
    <definedName name="OFFER_TARIFF_D_COLDVSNA_5">Предложение!$336:$338</definedName>
    <definedName name="OFFER_TARIFF_E_COLDVSNA_1">Предложение!$69:$71</definedName>
    <definedName name="OFFER_TARIFF_E_COLDVSNA_2">Предложение!$138:$140</definedName>
    <definedName name="OFFER_TARIFF_E_COLDVSNA_3">Предложение!$205:$207</definedName>
    <definedName name="OFFER_TARIFF_E_COLDVSNA_4">Предложение!$272:$274</definedName>
    <definedName name="OFFER_TARIFF_E_COLDVSNA_5">Предложение!$339:$341</definedName>
    <definedName name="OFFER_TARIFF_E1_1">Предложение!$42:$44</definedName>
    <definedName name="OFFER_TARIFF_E1_2">Предложение!$111:$113</definedName>
    <definedName name="OFFER_TARIFF_E1_3">Предложение!$178:$180</definedName>
    <definedName name="OFFER_TARIFF_E1_4">Предложение!$245:$247</definedName>
    <definedName name="OFFER_TARIFF_E1_5">Предложение!$312:$314</definedName>
    <definedName name="OFFER_TARIFF_E2_1">Предложение!$45:$47</definedName>
    <definedName name="OFFER_TARIFF_E2_2">Предложение!$114:$116</definedName>
    <definedName name="OFFER_TARIFF_E2_3">Предложение!$181:$183</definedName>
    <definedName name="OFFER_TARIFF_E2_4">Предложение!$248:$250</definedName>
    <definedName name="OFFER_TARIFF_E2_5">Предложение!$315:$317</definedName>
    <definedName name="OFFER_TARIFF_F_1">Предложение!$48:$50</definedName>
    <definedName name="OFFER_TARIFF_F_2">Предложение!$117:$119</definedName>
    <definedName name="OFFER_TARIFF_F_3">Предложение!$184:$186</definedName>
    <definedName name="OFFER_TARIFF_F_4">Предложение!$251:$253</definedName>
    <definedName name="OFFER_TARIFF_F_5">Предложение!$318:$320</definedName>
    <definedName name="OFFER_TARIFF_G_1">Предложение!$51:$53</definedName>
    <definedName name="OFFER_TARIFF_G_2">Предложение!$120:$122</definedName>
    <definedName name="OFFER_TARIFF_G_3">Предложение!$187:$189</definedName>
    <definedName name="OFFER_TARIFF_G_4">Предложение!$254:$256</definedName>
    <definedName name="OFFER_TARIFF_G_5">Предложение!$321:$323</definedName>
    <definedName name="OFFER_TARIFF_H_1">Предложение!$54:$56</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&gt;=25МВт'!$T$107</definedName>
    <definedName name="pIns_PT_VTAR_A_COLDVSNA">'ХВС. Т-пит'!$T$53</definedName>
    <definedName name="pIns_PT_VTAR_A_COLDVSNA_OFFER_1">Предложение!$G$59</definedName>
    <definedName name="pIns_PT_VTAR_A_COLDVSNA_OFFER_2">Предложение!$G$128</definedName>
    <definedName name="pIns_PT_VTAR_A_COLDVSNA_OFFER_3">Предложение!$G$195</definedName>
    <definedName name="pIns_PT_VTAR_A_COLDVSNA_OFFER_4">Предложение!$G$262</definedName>
    <definedName name="pIns_PT_VTAR_A_COLDVSNA_OFFER_5">Предложение!$G$329</definedName>
    <definedName name="pIns_PT_VTAR_A_COLDVSNA_OFFER5">Предложение!$G$329</definedName>
    <definedName name="pIns_PT_VTAR_A_HOTVSNA">'ГВС. Т-гор.вода'!$T$54</definedName>
    <definedName name="pIns_PT_VTAR_A_HOTVSNA_OFFER_1">Предложение!$G$74</definedName>
    <definedName name="pIns_PT_VTAR_A_HOTVSNA_OFFER_2">Предложение!$G$143</definedName>
    <definedName name="pIns_PT_VTAR_A_HOTVSNA_OFFER_3">Предложение!$G$210</definedName>
    <definedName name="pIns_PT_VTAR_A_HOTVSNA_OFFER_4">Предложение!$G$277</definedName>
    <definedName name="pIns_PT_VTAR_A_HOTVSNA_OFFER_5">Предложение!$G$344</definedName>
    <definedName name="pIns_PT_VTAR_A_OFFER_1">Предложение!$G$32</definedName>
    <definedName name="pIns_PT_VTAR_A_OFFER_2">Предложение!$G$101</definedName>
    <definedName name="pIns_PT_VTAR_A_OFFER_3">Предложение!$G$168</definedName>
    <definedName name="pIns_PT_VTAR_A_OFFER_4">Предложение!$G$235</definedName>
    <definedName name="pIns_PT_VTAR_A_OFFER_5">Предложение!$G$302</definedName>
    <definedName name="pIns_PT_VTAR_A_VOTV">'ВО. Т-во'!$T$53</definedName>
    <definedName name="pIns_PT_VTAR_A_VOTV_OFFER_1">Предложение!$G$83</definedName>
    <definedName name="pIns_PT_VTAR_A_VOTV_OFFER_2">Предложение!$G$152</definedName>
    <definedName name="pIns_PT_VTAR_A_VOTV_OFFER_3">Предложение!$G$219</definedName>
    <definedName name="pIns_PT_VTAR_A_VOTV_OFFER_4">Предложение!$G$286</definedName>
    <definedName name="pIns_PT_VTAR_A_VOTV_OFFER_5">Предложение!$G$353</definedName>
    <definedName name="pIns_PT_VTAR_B">'ТС. Т-ТЭ | ТСО'!$T$57</definedName>
    <definedName name="pIns_PT_VTAR_B_COLDVSNA">'ХВС. Т-тех'!$T$53</definedName>
    <definedName name="pIns_PT_VTAR_B_COLDVSNA_OFFER_1">Предложение!$G$62</definedName>
    <definedName name="pIns_PT_VTAR_B_COLDVSNA_OFFER_2">Предложение!$G$131</definedName>
    <definedName name="pIns_PT_VTAR_B_COLDVSNA_OFFER_3">Предложение!$G$198</definedName>
    <definedName name="pIns_PT_VTAR_B_COLDVSNA_OFFER_4">Предложение!$G$265</definedName>
    <definedName name="pIns_PT_VTAR_B_COLDVSNA_OFFER_5">Предложение!$G$332</definedName>
    <definedName name="pIns_PT_VTAR_B_HOTVSNA">'ГВС. Т-транс'!$T$54</definedName>
    <definedName name="pIns_PT_VTAR_B_HOTVSNA_OFFER_1">Предложение!$G$77</definedName>
    <definedName name="pIns_PT_VTAR_B_HOTVSNA_OFFER_2">Предложение!$G$146</definedName>
    <definedName name="pIns_PT_VTAR_B_HOTVSNA_OFFER_3">Предложение!$G$213</definedName>
    <definedName name="pIns_PT_VTAR_B_HOTVSNA_OFFER_4">Предложение!$G$280</definedName>
    <definedName name="pIns_PT_VTAR_B_HOTVSNA_OFFER_5">Предложение!$G$347</definedName>
    <definedName name="pIns_PT_VTAR_B_OFFER_1">Предложение!$G$35</definedName>
    <definedName name="pIns_PT_VTAR_B_OFFER_2">Предложение!$G$104</definedName>
    <definedName name="pIns_PT_VTAR_B_OFFER_3">Предложение!$G$171</definedName>
    <definedName name="pIns_PT_VTAR_B_OFFER_4">Предложение!$G$238</definedName>
    <definedName name="pIns_PT_VTAR_B_OFFER_5">Предложение!$G$305</definedName>
    <definedName name="pIns_PT_VTAR_B_VOTV">'ВО. Т-транс'!$T$53</definedName>
    <definedName name="pIns_PT_VTAR_B_VOTV_OFFER_1">Предложение!$G$86</definedName>
    <definedName name="pIns_PT_VTAR_B_VOTV_OFFER_2">Предложение!$G$155</definedName>
    <definedName name="pIns_PT_VTAR_B_VOTV_OFFER_3">Предложение!$G$222</definedName>
    <definedName name="pIns_PT_VTAR_B_VOTV_OFFER_4">Предложение!$G$289</definedName>
    <definedName name="pIns_PT_VTAR_B_VOTV_OFFER_5">Предложение!$G$356</definedName>
    <definedName name="pIns_PT_VTAR_C">'ТС. Т-ТН'!$T$57</definedName>
    <definedName name="pIns_PT_VTAR_C_COLDVSNA">'ХВС. Т-транс'!$T$53</definedName>
    <definedName name="pIns_PT_VTAR_C_COLDVSNA_OFFER_1">Предложение!$G$65</definedName>
    <definedName name="pIns_PT_VTAR_C_COLDVSNA_OFFER_2">Предложение!$G$134</definedName>
    <definedName name="pIns_PT_VTAR_C_COLDVSNA_OFFER_3">Предложение!$G$201</definedName>
    <definedName name="pIns_PT_VTAR_C_COLDVSNA_OFFER_4">Предложение!$G$268</definedName>
    <definedName name="pIns_PT_VTAR_C_COLDVSNA_OFFER_5">Предложение!$G$335</definedName>
    <definedName name="pIns_PT_VTAR_C_HOTVSNA">'ГВС. Т-подкл'!$T$63</definedName>
    <definedName name="pIns_PT_VTAR_C_HOTVSNA_OFFER_1">Предложение!$G$80</definedName>
    <definedName name="pIns_PT_VTAR_C_HOTVSNA_OFFER_2">Предложение!$G$149</definedName>
    <definedName name="pIns_PT_VTAR_C_HOTVSNA_OFFER_3">Предложение!$G$216</definedName>
    <definedName name="pIns_PT_VTAR_C_HOTVSNA_OFFER_4">Предложение!$G$283</definedName>
    <definedName name="pIns_PT_VTAR_C_HOTVSNA_OFFER_5">Предложение!$G$350</definedName>
    <definedName name="pIns_PT_VTAR_C_OFFER_1">Предложение!$G$38</definedName>
    <definedName name="pIns_PT_VTAR_C_OFFER_2">Предложение!$G$107</definedName>
    <definedName name="pIns_PT_VTAR_C_OFFER_3">Предложение!$G$174</definedName>
    <definedName name="pIns_PT_VTAR_C_OFFER_4">Предложение!$G$241</definedName>
    <definedName name="pIns_PT_VTAR_C_OFFER_5">Предложение!$G$308</definedName>
    <definedName name="pIns_PT_VTAR_C_VOTV">'ВО. Т-подкл'!$T$63</definedName>
    <definedName name="pIns_PT_VTAR_C_VOTV_OFFER_1">Предложение!$G$89</definedName>
    <definedName name="pIns_PT_VTAR_C_VOTV_OFFER_2">Предложение!$G$158</definedName>
    <definedName name="pIns_PT_VTAR_C_VOTV_OFFER_3">Предложение!$G$225</definedName>
    <definedName name="pIns_PT_VTAR_C_VOTV_OFFER_4">Предложение!$G$292</definedName>
    <definedName name="pIns_PT_VTAR_C_VOTV_OFFER_5">Предложение!$G$359</definedName>
    <definedName name="pIns_PT_VTAR_D">'ТС. Т-гор.вода'!$V$77</definedName>
    <definedName name="pIns_PT_VTAR_D_COLDVSNA">'ХВС. Т-подвоз'!$T$53</definedName>
    <definedName name="pIns_PT_VTAR_D_COLDVSNA_OFFER_1">Предложение!$G$68</definedName>
    <definedName name="pIns_PT_VTAR_D_COLDVSNA_OFFER_2">Предложение!$G$137</definedName>
    <definedName name="pIns_PT_VTAR_D_COLDVSNA_OFFER_3">Предложение!$G$204</definedName>
    <definedName name="pIns_PT_VTAR_D_COLDVSNA_OFFER_4">Предложение!$G$271</definedName>
    <definedName name="pIns_PT_VTAR_D_COLDVSNA_OFFER_5">Предложение!$G$338</definedName>
    <definedName name="pIns_PT_VTAR_D_OFFER_1">Предложение!$G$41</definedName>
    <definedName name="pIns_PT_VTAR_D_OFFER_2">Предложение!$G$110</definedName>
    <definedName name="pIns_PT_VTAR_D_OFFER_3">Предложение!$G$177</definedName>
    <definedName name="pIns_PT_VTAR_D_OFFER_4">Предложение!$G$244</definedName>
    <definedName name="pIns_PT_VTAR_D_OFFER_5">Предложение!$G$311</definedName>
    <definedName name="pIns_PT_VTAR_E_COLDVSNA">'ХВС. Т-подкл'!$T$63</definedName>
    <definedName name="pIns_PT_VTAR_E_COLDVSNA_OFFER_1">Предложение!$G$71</definedName>
    <definedName name="pIns_PT_VTAR_E_COLDVSNA_OFFER_2">Предложение!$G$140</definedName>
    <definedName name="pIns_PT_VTAR_E_COLDVSNA_OFFER_3">Предложение!$G$207</definedName>
    <definedName name="pIns_PT_VTAR_E_COLDVSNA_OFFER_4">Предложение!$G$274</definedName>
    <definedName name="pIns_PT_VTAR_E_COLDVSNA_OFFER_5">Предложение!$G$341</definedName>
    <definedName name="pIns_PT_VTAR_E1">'ТС. Т-передача ТЭ'!$T$57</definedName>
    <definedName name="pIns_PT_VTAR_E1_OFFER_1">Предложение!$G$44</definedName>
    <definedName name="pIns_PT_VTAR_E1_OFFER_2">Предложение!$G$113</definedName>
    <definedName name="pIns_PT_VTAR_E1_OFFER_3">Предложение!$G$180</definedName>
    <definedName name="pIns_PT_VTAR_E1_OFFER_4">Предложение!$G$247</definedName>
    <definedName name="pIns_PT_VTAR_E1_OFFER_5">Предложение!$G$314</definedName>
    <definedName name="pIns_PT_VTAR_E2">'ТС. Т-передача ТН'!$T$57</definedName>
    <definedName name="pIns_PT_VTAR_E2_OFFER_1">Предложение!$G$47</definedName>
    <definedName name="pIns_PT_VTAR_E2_OFFER_2">Предложение!$G$116</definedName>
    <definedName name="pIns_PT_VTAR_E2_OFFER_3">Предложение!$G$183</definedName>
    <definedName name="pIns_PT_VTAR_E2_OFFER_4">Предложение!$G$250</definedName>
    <definedName name="pIns_PT_VTAR_E2_OFFER_5">Предложение!$G$317</definedName>
    <definedName name="pIns_PT_VTAR_F">'ТС. Резерв мощности'!$T$57</definedName>
    <definedName name="pIns_PT_VTAR_F_OFFER_1">Предложение!$G$50</definedName>
    <definedName name="pIns_PT_VTAR_F_OFFER_2">Предложение!$G$119</definedName>
    <definedName name="pIns_PT_VTAR_F_OFFER_3">Предложение!$G$186</definedName>
    <definedName name="pIns_PT_VTAR_F_OFFER_4">Предложение!$G$253</definedName>
    <definedName name="pIns_PT_VTAR_F_OFFER_5">Предложение!$G$320</definedName>
    <definedName name="pIns_PT_VTAR_G">'ТС. Т-подкл'!$T$62</definedName>
    <definedName name="pIns_PT_VTAR_G_OFFER_1">Предложение!$G$53</definedName>
    <definedName name="pIns_PT_VTAR_G_OFFER_2">Предложение!$G$122</definedName>
    <definedName name="pIns_PT_VTAR_G_OFFER_3">Предложение!$G$189</definedName>
    <definedName name="pIns_PT_VTAR_G_OFFER_4">Предложение!$G$256</definedName>
    <definedName name="pIns_PT_VTAR_G_OFFER_5">Предложение!$G$323</definedName>
    <definedName name="pIns_PT_VTAR_H">'ТС. Т-подкл(инд)'!$T$56</definedName>
    <definedName name="pIns_PT_VTAR_H_OFFER_1">Предложение!$G$56</definedName>
    <definedName name="pIns_PT_VTAR_H_OFFER_2">Предложение!$G$125</definedName>
    <definedName name="pIns_PT_VTAR_H_OFFER_3">Предложение!$G$192</definedName>
    <definedName name="pIns_PT_VTAR_H_OFFER_4">Предложение!$G$259</definedName>
    <definedName name="pIns_PT_VTAR_H_OFFER_5">Предложение!$G$326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&gt;=25МВт'!$DF$39</definedName>
    <definedName name="pIns_ver_HEAT_TARIFF_B">'ТС. Т-ТЭ | ТСО'!$AL$39</definedName>
    <definedName name="pIns_ver_HEAT_TARIFF_C">'ТС. Т-ТН'!$DF$39</definedName>
    <definedName name="pIns_ver_HEAT_TARIFF_D">'ТС. Т-гор.вода'!$DS$43</definedName>
    <definedName name="pIns_ver_HEAT_TARIFF_E1">'ТС. Т-передача ТЭ'!$AL$39</definedName>
    <definedName name="pIns_ver_HEAT_TARIFF_E2">'ТС. Т-передача ТН'!$AL$39</definedName>
    <definedName name="pIns_ver_HEAT_TARIFF_F">'ТС. Резерв мощности'!$DF$39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&gt;=25МВт'!$45:$62</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&gt;=25МВт'!$67:$76</definedName>
    <definedName name="pt_cs_31">'ТС. Т-ТЭ | &gt;=25МВт'!$81:$90</definedName>
    <definedName name="pt_cs_32">'ТС. Т-ТЭ | &gt;=25МВт'!$95:$104</definedName>
    <definedName name="pt_cs_4">'ТС. Т-гор.вода'!$51:$74</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тарифов'!$AL$12:$AL$149</definedName>
    <definedName name="PT_DIFFERENTIATION_CS_ID">'Перечень тарифов'!$AF$12:$AF$149</definedName>
    <definedName name="PT_DIFFERENTIATION_IST_TE">'Перечень тарифов'!$AM$12:$AM$149</definedName>
    <definedName name="PT_DIFFERENTIATION_IST_TE_ID">'Перечень тарифов'!$AG$12:$AG$149</definedName>
    <definedName name="PT_DIFFERENTIATION_NTAR">'Перечень тарифов'!$AJ$12:$AJ$149</definedName>
    <definedName name="PT_DIFFERENTIATION_NTAR_ID">'Перечень тарифов'!$AD$12:$AD$149</definedName>
    <definedName name="PT_DIFFERENTIATION_NUM_CS">'Перечень тарифов'!$AP$12:$AP$149</definedName>
    <definedName name="PT_DIFFERENTIATION_NUM_IST_TE">'Перечень тарифов'!$AQ$12:$AQ$149</definedName>
    <definedName name="PT_DIFFERENTIATION_NUM_NTAR">'Перечень тарифов'!$AN$12:$AN$149</definedName>
    <definedName name="PT_DIFFERENTIATION_NUM_TER">'Перечень тарифов'!$AO$12:$AO$149</definedName>
    <definedName name="PT_DIFFERENTIATION_TER">'Перечень тарифов'!$AK$12:$AK$149</definedName>
    <definedName name="PT_DIFFERENTIATION_TER_ID">'Перечень тарифов'!$AE$12:$AE$149</definedName>
    <definedName name="PT_DIFFERENTIATION_VDET">'Перечень тарифов'!$AI$12:$AI$149</definedName>
    <definedName name="PT_DIFFERENTIATION_VTAR">'Перечень тарифов'!$AH$12:$AH$149</definedName>
    <definedName name="PT_DIFFERENTIATION_VTAR_ID">'Перечень тарифов'!$AC$12:$AC$149</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тарифов'!$F$75</definedName>
    <definedName name="pt_ist_te_1">'ТС. Т-ТЭ | &gt;=25МВт'!$46:$61</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&gt;=25МВт'!$68:$75</definedName>
    <definedName name="pt_ist_te_31">'ТС. Т-ТЭ | &gt;=25МВт'!$82:$89</definedName>
    <definedName name="pt_ist_te_32">'ТС. Т-ТЭ | &gt;=25МВт'!$96:$103</definedName>
    <definedName name="pt_ist_te_4">'ТС. Т-гор.вода'!$52:$73</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&gt;=25МВт'!$43:$64</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'ТС. Т-ТЭ | &gt;=25МВт'!$65:$78</definedName>
    <definedName name="pt_ntar_301">'ТС. Т-ТЭ | &gt;=25МВт'!$79:$92</definedName>
    <definedName name="pt_ntar_3011">'ТС. Т-ТЭ | &gt;=25МВт'!$93:$106</definedName>
    <definedName name="pt_ntar_4">'ТС. Т-гор.вода'!$49:$76</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&gt;=25МВт'!$44:$63</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Т-ТЭ | &gt;=25МВт'!$66:$77</definedName>
    <definedName name="pt_ter_31">'ТС. Т-ТЭ | &gt;=25МВт'!$80:$91</definedName>
    <definedName name="pt_ter_32">'ТС. Т-ТЭ | &gt;=25МВт'!$94:$105</definedName>
    <definedName name="pt_ter_4">'ТС. Т-гор.вода'!$50:$75</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тарифов'!$W$148</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Предложение!$L$360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ТП'!$H$42</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Предложение!$L$360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&gt;=25МВт'!$DF$108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Т-ТН'!$DF$58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Т-гор.вода'!$DS$78</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мощности'!$DF$58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L10" i="54"/>
  <c r="R10" i="54" s="1"/>
  <c r="K8" i="54"/>
  <c r="J8" i="54"/>
  <c r="G8" i="54"/>
  <c r="F8" i="54"/>
  <c r="R2" i="54"/>
  <c r="P2" i="54" a="1"/>
  <c r="P2" i="54" s="1"/>
  <c r="P9" i="53"/>
  <c r="N9" i="53" a="1"/>
  <c r="N9" i="53" s="1"/>
  <c r="J9" i="53"/>
  <c r="E5" i="53"/>
  <c r="P2" i="53"/>
  <c r="N2" i="53" a="1"/>
  <c r="N2" i="53"/>
  <c r="G24" i="52"/>
  <c r="G12" i="52"/>
  <c r="F12" i="52"/>
  <c r="F10" i="54" s="1"/>
  <c r="E12" i="52"/>
  <c r="D6" i="52"/>
  <c r="BA115" i="51"/>
  <c r="BA114" i="51"/>
  <c r="BA113" i="51"/>
  <c r="BA102" i="51"/>
  <c r="BA100" i="51"/>
  <c r="BA99" i="51"/>
  <c r="I53" i="51"/>
  <c r="I52" i="51"/>
  <c r="H52" i="51"/>
  <c r="F32" i="51" s="1"/>
  <c r="G52" i="51"/>
  <c r="E32" i="51" s="1"/>
  <c r="I51" i="51"/>
  <c r="H51" i="51"/>
  <c r="G51" i="51"/>
  <c r="I50" i="51"/>
  <c r="I49" i="51"/>
  <c r="I48" i="51"/>
  <c r="I47" i="51"/>
  <c r="I46" i="51"/>
  <c r="K45" i="51"/>
  <c r="I45" i="51"/>
  <c r="G44" i="51"/>
  <c r="H48" i="51" s="1"/>
  <c r="G36" i="51"/>
  <c r="E4" i="62" s="1"/>
  <c r="F36" i="51"/>
  <c r="F29" i="51"/>
  <c r="E29" i="51"/>
  <c r="L5" i="51"/>
  <c r="L4" i="51"/>
  <c r="L3" i="51"/>
  <c r="L6" i="51" s="1"/>
  <c r="I14" i="50"/>
  <c r="G14" i="50"/>
  <c r="G11" i="50"/>
  <c r="G10" i="50"/>
  <c r="G9" i="50"/>
  <c r="D6" i="50"/>
  <c r="E13" i="49"/>
  <c r="H12" i="49"/>
  <c r="E12" i="49"/>
  <c r="E11" i="49"/>
  <c r="E10" i="49"/>
  <c r="D6" i="49"/>
  <c r="D5" i="49"/>
  <c r="F293" i="48"/>
  <c r="M227" i="48"/>
  <c r="F226" i="48"/>
  <c r="M160" i="48"/>
  <c r="F159" i="48"/>
  <c r="F90" i="48"/>
  <c r="M24" i="48"/>
  <c r="F23" i="48"/>
  <c r="G17" i="48"/>
  <c r="F17" i="48"/>
  <c r="G16" i="48"/>
  <c r="F16" i="48"/>
  <c r="E14" i="48"/>
  <c r="N7" i="48"/>
  <c r="N4" i="48"/>
  <c r="N1" i="48"/>
  <c r="E43"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7" i="43"/>
  <c r="H46" i="43"/>
  <c r="H45" i="43"/>
  <c r="I44" i="43"/>
  <c r="H44" i="43" s="1"/>
  <c r="H43" i="43"/>
  <c r="H42" i="43"/>
  <c r="H41" i="43"/>
  <c r="H40" i="43"/>
  <c r="I39" i="43"/>
  <c r="H39" i="43"/>
  <c r="I38" i="43"/>
  <c r="H35" i="43"/>
  <c r="H34" i="43"/>
  <c r="H33" i="43"/>
  <c r="I32" i="43"/>
  <c r="H32" i="43"/>
  <c r="H31" i="43"/>
  <c r="H30" i="43"/>
  <c r="H29" i="43"/>
  <c r="I28" i="43"/>
  <c r="H28" i="43"/>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L68" i="33"/>
  <c r="J68" i="33"/>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J33" i="33"/>
  <c r="I33" i="33"/>
  <c r="H33" i="33"/>
  <c r="F33" i="33"/>
  <c r="E33" i="33"/>
  <c r="B34"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G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C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I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DW77" i="19"/>
  <c r="DW76" i="19"/>
  <c r="DW75" i="19"/>
  <c r="DW74" i="19"/>
  <c r="DW73" i="19"/>
  <c r="DW72" i="19"/>
  <c r="DW71" i="19"/>
  <c r="J71" i="19"/>
  <c r="DW69" i="19"/>
  <c r="DN69" i="19"/>
  <c r="DE69" i="19"/>
  <c r="CV69" i="19"/>
  <c r="CM69" i="19"/>
  <c r="CD69" i="19"/>
  <c r="BU69" i="19"/>
  <c r="BL69" i="19"/>
  <c r="BC69" i="19"/>
  <c r="AT69" i="19"/>
  <c r="AK69" i="19"/>
  <c r="AB69" i="19"/>
  <c r="DW67" i="19"/>
  <c r="DW66" i="19"/>
  <c r="DW65" i="19"/>
  <c r="DW63" i="19"/>
  <c r="DN63" i="19"/>
  <c r="DE63" i="19"/>
  <c r="CV63" i="19"/>
  <c r="CM63" i="19"/>
  <c r="CD63" i="19"/>
  <c r="BU63" i="19"/>
  <c r="BL63" i="19"/>
  <c r="BC63" i="19"/>
  <c r="AT63" i="19"/>
  <c r="AK63" i="19"/>
  <c r="AB63" i="19"/>
  <c r="J62" i="19"/>
  <c r="DW61" i="19"/>
  <c r="DW60" i="19"/>
  <c r="J60" i="19"/>
  <c r="U60" i="19" s="1"/>
  <c r="DW59" i="19"/>
  <c r="DW58" i="19"/>
  <c r="DW57" i="19"/>
  <c r="DN57" i="19"/>
  <c r="DE57" i="19"/>
  <c r="CV57" i="19"/>
  <c r="CM57" i="19"/>
  <c r="CD57" i="19"/>
  <c r="BU57" i="19"/>
  <c r="BL57" i="19"/>
  <c r="BC57" i="19"/>
  <c r="AT57" i="19"/>
  <c r="AK57" i="19"/>
  <c r="AB57" i="19"/>
  <c r="DW56" i="19"/>
  <c r="DW55" i="19"/>
  <c r="DW54" i="19"/>
  <c r="DW53" i="19"/>
  <c r="DW52" i="19"/>
  <c r="DW51" i="19"/>
  <c r="AG51" i="19"/>
  <c r="DW50" i="19"/>
  <c r="DW49" i="19"/>
  <c r="DT49" i="19"/>
  <c r="DM48" i="19"/>
  <c r="DN48" i="19" s="1"/>
  <c r="DO48" i="19" s="1"/>
  <c r="DP48" i="19" s="1"/>
  <c r="DR48" i="19" s="1"/>
  <c r="DS48" i="19" s="1"/>
  <c r="DT48" i="19" s="1"/>
  <c r="DD48" i="19"/>
  <c r="DE48" i="19" s="1"/>
  <c r="DF48" i="19" s="1"/>
  <c r="DG48" i="19" s="1"/>
  <c r="DI48" i="19" s="1"/>
  <c r="DJ48" i="19" s="1"/>
  <c r="CU48" i="19"/>
  <c r="CV48" i="19" s="1"/>
  <c r="CW48" i="19" s="1"/>
  <c r="CX48" i="19" s="1"/>
  <c r="CZ48" i="19" s="1"/>
  <c r="DA48" i="19" s="1"/>
  <c r="CL48" i="19"/>
  <c r="CM48" i="19" s="1"/>
  <c r="CN48" i="19" s="1"/>
  <c r="CO48" i="19" s="1"/>
  <c r="CQ48" i="19" s="1"/>
  <c r="CR48" i="19" s="1"/>
  <c r="CC48" i="19"/>
  <c r="CD48" i="19" s="1"/>
  <c r="CE48" i="19" s="1"/>
  <c r="CF48" i="19" s="1"/>
  <c r="CH48" i="19" s="1"/>
  <c r="CI48" i="19" s="1"/>
  <c r="BT48" i="19"/>
  <c r="BU48" i="19" s="1"/>
  <c r="BV48" i="19" s="1"/>
  <c r="BW48" i="19" s="1"/>
  <c r="BY48" i="19" s="1"/>
  <c r="BZ48" i="19" s="1"/>
  <c r="BK48" i="19"/>
  <c r="BL48" i="19" s="1"/>
  <c r="BM48" i="19" s="1"/>
  <c r="BN48" i="19" s="1"/>
  <c r="BP48" i="19" s="1"/>
  <c r="BQ48" i="19" s="1"/>
  <c r="BB48" i="19"/>
  <c r="BC48" i="19" s="1"/>
  <c r="BD48" i="19" s="1"/>
  <c r="BE48" i="19" s="1"/>
  <c r="BG48" i="19" s="1"/>
  <c r="BH48" i="19" s="1"/>
  <c r="AS48" i="19"/>
  <c r="AT48" i="19" s="1"/>
  <c r="AU48" i="19" s="1"/>
  <c r="AV48" i="19" s="1"/>
  <c r="AX48" i="19" s="1"/>
  <c r="AY48" i="19" s="1"/>
  <c r="AJ48" i="19"/>
  <c r="AK48" i="19" s="1"/>
  <c r="AL48" i="19" s="1"/>
  <c r="AM48" i="19" s="1"/>
  <c r="AO48" i="19" s="1"/>
  <c r="AP48" i="19" s="1"/>
  <c r="AA48" i="19"/>
  <c r="AB48" i="19" s="1"/>
  <c r="AC48" i="19" s="1"/>
  <c r="AD48" i="19" s="1"/>
  <c r="AF48" i="19" s="1"/>
  <c r="AG48" i="19" s="1"/>
  <c r="W48" i="19"/>
  <c r="X48" i="19" s="1"/>
  <c r="DJ39" i="19"/>
  <c r="DA39" i="19"/>
  <c r="CR39" i="19"/>
  <c r="CI39" i="19"/>
  <c r="BZ39" i="19"/>
  <c r="BQ39" i="19"/>
  <c r="BH39" i="19"/>
  <c r="AY39" i="19"/>
  <c r="AP39" i="19"/>
  <c r="AG39" i="19"/>
  <c r="X39" i="19"/>
  <c r="DJ38" i="19"/>
  <c r="DA38" i="19"/>
  <c r="CR38" i="19"/>
  <c r="CI38" i="19"/>
  <c r="BZ38" i="19"/>
  <c r="BQ38" i="19"/>
  <c r="BH38" i="19"/>
  <c r="AY38" i="19"/>
  <c r="AP38" i="19"/>
  <c r="AG38" i="19"/>
  <c r="X38" i="19"/>
  <c r="DJ36" i="19"/>
  <c r="DA36" i="19"/>
  <c r="CR36" i="19"/>
  <c r="CI36" i="19"/>
  <c r="BZ36" i="19"/>
  <c r="BQ36" i="19"/>
  <c r="BH36" i="19"/>
  <c r="AY36" i="19"/>
  <c r="AP36" i="19"/>
  <c r="AG36" i="19"/>
  <c r="X36" i="19"/>
  <c r="DJ35" i="19"/>
  <c r="DA35" i="19"/>
  <c r="CR35" i="19"/>
  <c r="CI35" i="19"/>
  <c r="BZ35" i="19"/>
  <c r="BQ35" i="19"/>
  <c r="BH35" i="19"/>
  <c r="AY35" i="19"/>
  <c r="AP35" i="19"/>
  <c r="AG35" i="19"/>
  <c r="X35" i="19"/>
  <c r="DJ34" i="19"/>
  <c r="DA34" i="19"/>
  <c r="CR34" i="19"/>
  <c r="CI34" i="19"/>
  <c r="BZ34" i="19"/>
  <c r="BQ34" i="19"/>
  <c r="BH34" i="19"/>
  <c r="AY34" i="19"/>
  <c r="AP34" i="19"/>
  <c r="AG34" i="19"/>
  <c r="X34" i="19"/>
  <c r="DJ33" i="19"/>
  <c r="DA33" i="19"/>
  <c r="CR33" i="19"/>
  <c r="CI33" i="19"/>
  <c r="BZ33" i="19"/>
  <c r="BQ33" i="19"/>
  <c r="BH33" i="19"/>
  <c r="AY33" i="19"/>
  <c r="AP33" i="19"/>
  <c r="AG33" i="19"/>
  <c r="X33" i="19"/>
  <c r="U31" i="19"/>
  <c r="U30" i="19"/>
  <c r="AK22" i="19"/>
  <c r="DW17" i="19"/>
  <c r="DW16" i="19"/>
  <c r="DW15" i="19"/>
  <c r="DW14" i="19"/>
  <c r="DW13" i="19"/>
  <c r="DW12" i="19"/>
  <c r="DW10" i="19"/>
  <c r="DN10" i="19"/>
  <c r="DE10" i="19"/>
  <c r="CV10" i="19"/>
  <c r="CM10" i="19"/>
  <c r="CD10" i="19"/>
  <c r="BU10" i="19"/>
  <c r="BL10" i="19"/>
  <c r="BC10" i="19"/>
  <c r="AT10" i="19"/>
  <c r="AK10" i="19"/>
  <c r="AB10" i="19"/>
  <c r="DW8" i="19"/>
  <c r="DW7" i="19"/>
  <c r="U7" i="19"/>
  <c r="DW6" i="19"/>
  <c r="I6" i="19"/>
  <c r="J7" i="19" s="1"/>
  <c r="K8" i="19" s="1"/>
  <c r="DW5" i="19"/>
  <c r="AG5" i="19"/>
  <c r="U5" i="19"/>
  <c r="DW4" i="19"/>
  <c r="AG4" i="19"/>
  <c r="U4" i="19"/>
  <c r="DW3" i="19"/>
  <c r="AG3" i="19"/>
  <c r="U3" i="19"/>
  <c r="DW2" i="19"/>
  <c r="AG2" i="19"/>
  <c r="U2" i="19"/>
  <c r="AP57" i="18"/>
  <c r="AP56" i="18"/>
  <c r="AP55" i="18"/>
  <c r="AP54" i="18"/>
  <c r="AP53" i="18"/>
  <c r="AP52" i="18"/>
  <c r="AP51" i="18"/>
  <c r="AP50" i="18"/>
  <c r="AG50" i="18"/>
  <c r="Y50" i="18"/>
  <c r="AP49" i="18"/>
  <c r="AP48" i="18"/>
  <c r="AP47" i="18"/>
  <c r="AP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S7" i="18"/>
  <c r="AP6" i="18"/>
  <c r="I6" i="18"/>
  <c r="J7" i="18" s="1"/>
  <c r="K8" i="18" s="1"/>
  <c r="S8"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S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AP6" i="17"/>
  <c r="I6" i="17"/>
  <c r="J7" i="17" s="1"/>
  <c r="K8" i="17" s="1"/>
  <c r="S8" i="17" s="1"/>
  <c r="AP5" i="17"/>
  <c r="AD5" i="17"/>
  <c r="S5" i="17"/>
  <c r="AP4" i="17"/>
  <c r="AD4" i="17"/>
  <c r="S4" i="17"/>
  <c r="AP3" i="17"/>
  <c r="AD3" i="17"/>
  <c r="S3" i="17"/>
  <c r="AP2" i="17"/>
  <c r="AD2" i="17"/>
  <c r="S2" i="17"/>
  <c r="DJ57" i="16"/>
  <c r="DJ56" i="16"/>
  <c r="DJ55" i="16"/>
  <c r="DJ54" i="16"/>
  <c r="DJ53" i="16"/>
  <c r="DJ52" i="16"/>
  <c r="DJ51" i="16"/>
  <c r="DJ50" i="16"/>
  <c r="DA50" i="16"/>
  <c r="CS50" i="16"/>
  <c r="CK50" i="16"/>
  <c r="CC50" i="16"/>
  <c r="BU50" i="16"/>
  <c r="BM50" i="16"/>
  <c r="BE50" i="16"/>
  <c r="AW50" i="16"/>
  <c r="AO50" i="16"/>
  <c r="AG50" i="16"/>
  <c r="Y50" i="16"/>
  <c r="DJ49" i="16"/>
  <c r="DJ48" i="16"/>
  <c r="DJ47" i="16"/>
  <c r="DJ46" i="16"/>
  <c r="DJ45" i="16"/>
  <c r="AD45" i="16"/>
  <c r="DJ44" i="16"/>
  <c r="DJ43" i="16"/>
  <c r="DG43" i="16"/>
  <c r="CZ42" i="16"/>
  <c r="DA42" i="16" s="1"/>
  <c r="DB42" i="16" s="1"/>
  <c r="DC42" i="16" s="1"/>
  <c r="DE42" i="16" s="1"/>
  <c r="DF42" i="16" s="1"/>
  <c r="DG42" i="16" s="1"/>
  <c r="CR42" i="16"/>
  <c r="CS42" i="16" s="1"/>
  <c r="CT42" i="16" s="1"/>
  <c r="CU42" i="16" s="1"/>
  <c r="CW42" i="16" s="1"/>
  <c r="CX42" i="16" s="1"/>
  <c r="CJ42" i="16"/>
  <c r="CK42" i="16" s="1"/>
  <c r="CL42" i="16" s="1"/>
  <c r="CM42" i="16" s="1"/>
  <c r="CO42" i="16" s="1"/>
  <c r="CP42" i="16" s="1"/>
  <c r="CB42" i="16"/>
  <c r="CC42" i="16" s="1"/>
  <c r="CD42" i="16" s="1"/>
  <c r="CE42" i="16" s="1"/>
  <c r="CG42" i="16" s="1"/>
  <c r="CH42" i="16" s="1"/>
  <c r="BT42" i="16"/>
  <c r="BU42" i="16" s="1"/>
  <c r="BV42" i="16" s="1"/>
  <c r="BW42" i="16" s="1"/>
  <c r="BY42" i="16" s="1"/>
  <c r="BZ42" i="16" s="1"/>
  <c r="BL42" i="16"/>
  <c r="BM42" i="16" s="1"/>
  <c r="BN42" i="16" s="1"/>
  <c r="BO42" i="16" s="1"/>
  <c r="BQ42" i="16" s="1"/>
  <c r="BR42" i="16" s="1"/>
  <c r="BD42" i="16"/>
  <c r="BE42" i="16" s="1"/>
  <c r="BF42" i="16" s="1"/>
  <c r="BG42" i="16" s="1"/>
  <c r="BI42" i="16" s="1"/>
  <c r="BJ42" i="16" s="1"/>
  <c r="AV42" i="16"/>
  <c r="AW42" i="16" s="1"/>
  <c r="AX42" i="16" s="1"/>
  <c r="AY42" i="16" s="1"/>
  <c r="BA42" i="16" s="1"/>
  <c r="BB42" i="16" s="1"/>
  <c r="AN42" i="16"/>
  <c r="AO42" i="16" s="1"/>
  <c r="AP42" i="16" s="1"/>
  <c r="AQ42" i="16" s="1"/>
  <c r="AS42" i="16" s="1"/>
  <c r="AT42" i="16" s="1"/>
  <c r="AF42" i="16"/>
  <c r="AG42" i="16" s="1"/>
  <c r="AH42" i="16" s="1"/>
  <c r="AI42" i="16" s="1"/>
  <c r="AK42" i="16" s="1"/>
  <c r="AL42" i="16" s="1"/>
  <c r="X42" i="16"/>
  <c r="Y42" i="16" s="1"/>
  <c r="Z42" i="16" s="1"/>
  <c r="AA42" i="16" s="1"/>
  <c r="AC42" i="16" s="1"/>
  <c r="AD42" i="16" s="1"/>
  <c r="U42" i="16"/>
  <c r="V42" i="16" s="1"/>
  <c r="CX35" i="16"/>
  <c r="CP35" i="16"/>
  <c r="CH35" i="16"/>
  <c r="BZ35" i="16"/>
  <c r="BR35" i="16"/>
  <c r="BJ35" i="16"/>
  <c r="BB35" i="16"/>
  <c r="AT35" i="16"/>
  <c r="AL35" i="16"/>
  <c r="AD35" i="16"/>
  <c r="V35" i="16"/>
  <c r="CX34" i="16"/>
  <c r="CP34" i="16"/>
  <c r="CH34" i="16"/>
  <c r="BZ34" i="16"/>
  <c r="BR34" i="16"/>
  <c r="BJ34" i="16"/>
  <c r="BB34" i="16"/>
  <c r="AT34" i="16"/>
  <c r="AL34" i="16"/>
  <c r="AD34" i="16"/>
  <c r="V34" i="16"/>
  <c r="CX32" i="16"/>
  <c r="CP32" i="16"/>
  <c r="CH32" i="16"/>
  <c r="BZ32" i="16"/>
  <c r="BR32" i="16"/>
  <c r="BJ32" i="16"/>
  <c r="BB32" i="16"/>
  <c r="AT32" i="16"/>
  <c r="AL32" i="16"/>
  <c r="AD32" i="16"/>
  <c r="V32" i="16"/>
  <c r="CX31" i="16"/>
  <c r="CP31" i="16"/>
  <c r="CH31" i="16"/>
  <c r="BZ31" i="16"/>
  <c r="BR31" i="16"/>
  <c r="BJ31" i="16"/>
  <c r="BB31" i="16"/>
  <c r="AT31" i="16"/>
  <c r="AL31" i="16"/>
  <c r="AD31" i="16"/>
  <c r="V31" i="16"/>
  <c r="CX30" i="16"/>
  <c r="CP30" i="16"/>
  <c r="CH30" i="16"/>
  <c r="BZ30" i="16"/>
  <c r="BR30" i="16"/>
  <c r="BJ30" i="16"/>
  <c r="BB30" i="16"/>
  <c r="AT30" i="16"/>
  <c r="AL30" i="16"/>
  <c r="AD30" i="16"/>
  <c r="V30" i="16"/>
  <c r="CX29" i="16"/>
  <c r="CP29" i="16"/>
  <c r="CH29" i="16"/>
  <c r="BZ29" i="16"/>
  <c r="BR29" i="16"/>
  <c r="BJ29" i="16"/>
  <c r="BB29" i="16"/>
  <c r="AT29" i="16"/>
  <c r="AL29" i="16"/>
  <c r="AD29" i="16"/>
  <c r="V29" i="16"/>
  <c r="S27" i="16"/>
  <c r="S26" i="16"/>
  <c r="AG18" i="16"/>
  <c r="DJ15" i="16"/>
  <c r="DJ14" i="16"/>
  <c r="DJ13" i="16"/>
  <c r="DJ12" i="16"/>
  <c r="DJ11" i="16"/>
  <c r="DJ10" i="16"/>
  <c r="DJ9" i="16"/>
  <c r="DA9" i="16"/>
  <c r="CS9" i="16"/>
  <c r="CK9" i="16"/>
  <c r="CC9" i="16"/>
  <c r="BU9" i="16"/>
  <c r="BM9" i="16"/>
  <c r="BE9" i="16"/>
  <c r="AW9" i="16"/>
  <c r="AO9" i="16"/>
  <c r="AG9" i="16"/>
  <c r="Y9" i="16"/>
  <c r="DJ8" i="16"/>
  <c r="DJ7" i="16"/>
  <c r="J7" i="16"/>
  <c r="K8" i="16" s="1"/>
  <c r="S8" i="16" s="1"/>
  <c r="DJ6" i="16"/>
  <c r="I6" i="16"/>
  <c r="DJ5" i="16"/>
  <c r="AD5" i="16"/>
  <c r="S5" i="16"/>
  <c r="DJ4" i="16"/>
  <c r="AD4" i="16"/>
  <c r="S4" i="16"/>
  <c r="DJ3" i="16"/>
  <c r="AD3" i="16"/>
  <c r="S3" i="16"/>
  <c r="DJ2" i="16"/>
  <c r="AD2" i="16"/>
  <c r="S2" i="16"/>
  <c r="DJ57" i="15"/>
  <c r="DJ56" i="15"/>
  <c r="DJ55" i="15"/>
  <c r="DJ54" i="15"/>
  <c r="DJ53" i="15"/>
  <c r="DJ52" i="15"/>
  <c r="DJ51" i="15"/>
  <c r="DJ50" i="15"/>
  <c r="DA50" i="15"/>
  <c r="CS50" i="15"/>
  <c r="CK50" i="15"/>
  <c r="CC50" i="15"/>
  <c r="BU50" i="15"/>
  <c r="BM50" i="15"/>
  <c r="BE50" i="15"/>
  <c r="AW50" i="15"/>
  <c r="AO50" i="15"/>
  <c r="AG50" i="15"/>
  <c r="Y50" i="15"/>
  <c r="DJ49" i="15"/>
  <c r="DJ48" i="15"/>
  <c r="DJ47" i="15"/>
  <c r="DJ46" i="15"/>
  <c r="DJ45" i="15"/>
  <c r="DJ44" i="15"/>
  <c r="S44" i="15"/>
  <c r="DJ43" i="15"/>
  <c r="DG43" i="15"/>
  <c r="S43" i="15"/>
  <c r="CZ42" i="15"/>
  <c r="DA42" i="15" s="1"/>
  <c r="DB42" i="15" s="1"/>
  <c r="DC42" i="15" s="1"/>
  <c r="DE42" i="15" s="1"/>
  <c r="DF42" i="15" s="1"/>
  <c r="DG42" i="15" s="1"/>
  <c r="CR42" i="15"/>
  <c r="CS42" i="15" s="1"/>
  <c r="CT42" i="15" s="1"/>
  <c r="CU42" i="15" s="1"/>
  <c r="CW42" i="15" s="1"/>
  <c r="CX42" i="15" s="1"/>
  <c r="CJ42" i="15"/>
  <c r="CK42" i="15" s="1"/>
  <c r="CL42" i="15" s="1"/>
  <c r="CM42" i="15" s="1"/>
  <c r="CO42" i="15" s="1"/>
  <c r="CP42" i="15" s="1"/>
  <c r="CB42" i="15"/>
  <c r="CC42" i="15" s="1"/>
  <c r="CD42" i="15" s="1"/>
  <c r="CE42" i="15" s="1"/>
  <c r="CG42" i="15" s="1"/>
  <c r="CH42" i="15" s="1"/>
  <c r="BT42" i="15"/>
  <c r="BU42" i="15" s="1"/>
  <c r="BV42" i="15" s="1"/>
  <c r="BW42" i="15" s="1"/>
  <c r="BY42" i="15" s="1"/>
  <c r="BZ42" i="15" s="1"/>
  <c r="BL42" i="15"/>
  <c r="BM42" i="15" s="1"/>
  <c r="BN42" i="15" s="1"/>
  <c r="BO42" i="15" s="1"/>
  <c r="BQ42" i="15" s="1"/>
  <c r="BR42" i="15" s="1"/>
  <c r="BD42" i="15"/>
  <c r="BE42" i="15" s="1"/>
  <c r="BF42" i="15" s="1"/>
  <c r="BG42" i="15" s="1"/>
  <c r="BI42" i="15" s="1"/>
  <c r="BJ42" i="15" s="1"/>
  <c r="AV42" i="15"/>
  <c r="AW42" i="15" s="1"/>
  <c r="AX42" i="15" s="1"/>
  <c r="AY42" i="15" s="1"/>
  <c r="BA42" i="15" s="1"/>
  <c r="BB42" i="15" s="1"/>
  <c r="AN42" i="15"/>
  <c r="AO42" i="15" s="1"/>
  <c r="AP42" i="15" s="1"/>
  <c r="AQ42" i="15" s="1"/>
  <c r="AS42" i="15" s="1"/>
  <c r="AT42" i="15" s="1"/>
  <c r="AF42" i="15"/>
  <c r="AG42" i="15" s="1"/>
  <c r="AH42" i="15" s="1"/>
  <c r="AI42" i="15" s="1"/>
  <c r="AK42" i="15" s="1"/>
  <c r="AL42" i="15" s="1"/>
  <c r="X42" i="15"/>
  <c r="Y42" i="15" s="1"/>
  <c r="Z42" i="15" s="1"/>
  <c r="AA42" i="15" s="1"/>
  <c r="AC42" i="15" s="1"/>
  <c r="AD42" i="15" s="1"/>
  <c r="U42" i="15"/>
  <c r="V42" i="15" s="1"/>
  <c r="CX35" i="15"/>
  <c r="CP35" i="15"/>
  <c r="CH35" i="15"/>
  <c r="BZ35" i="15"/>
  <c r="BR35" i="15"/>
  <c r="BJ35" i="15"/>
  <c r="BB35" i="15"/>
  <c r="AT35" i="15"/>
  <c r="AL35" i="15"/>
  <c r="AD35" i="15"/>
  <c r="V35" i="15"/>
  <c r="CX34" i="15"/>
  <c r="CP34" i="15"/>
  <c r="CH34" i="15"/>
  <c r="BZ34" i="15"/>
  <c r="BR34" i="15"/>
  <c r="BJ34" i="15"/>
  <c r="BB34" i="15"/>
  <c r="AT34" i="15"/>
  <c r="AL34" i="15"/>
  <c r="AD34" i="15"/>
  <c r="V34" i="15"/>
  <c r="CX32" i="15"/>
  <c r="CP32" i="15"/>
  <c r="CH32" i="15"/>
  <c r="BZ32" i="15"/>
  <c r="BR32" i="15"/>
  <c r="BJ32" i="15"/>
  <c r="BB32" i="15"/>
  <c r="AT32" i="15"/>
  <c r="AL32" i="15"/>
  <c r="AD32" i="15"/>
  <c r="V32" i="15"/>
  <c r="CX31" i="15"/>
  <c r="CP31" i="15"/>
  <c r="CH31" i="15"/>
  <c r="BZ31" i="15"/>
  <c r="BR31" i="15"/>
  <c r="BJ31" i="15"/>
  <c r="BB31" i="15"/>
  <c r="AT31" i="15"/>
  <c r="AL31" i="15"/>
  <c r="AD31" i="15"/>
  <c r="V31" i="15"/>
  <c r="CX30" i="15"/>
  <c r="CP30" i="15"/>
  <c r="CH30" i="15"/>
  <c r="BZ30" i="15"/>
  <c r="BR30" i="15"/>
  <c r="BJ30" i="15"/>
  <c r="BB30" i="15"/>
  <c r="AT30" i="15"/>
  <c r="AL30" i="15"/>
  <c r="AD30" i="15"/>
  <c r="V30" i="15"/>
  <c r="CX29" i="15"/>
  <c r="CP29" i="15"/>
  <c r="CH29" i="15"/>
  <c r="BZ29" i="15"/>
  <c r="BR29" i="15"/>
  <c r="BJ29" i="15"/>
  <c r="BB29" i="15"/>
  <c r="AT29" i="15"/>
  <c r="AL29" i="15"/>
  <c r="AD29" i="15"/>
  <c r="V29" i="15"/>
  <c r="S27" i="15"/>
  <c r="S26" i="15"/>
  <c r="AG18" i="15"/>
  <c r="DJ15" i="15"/>
  <c r="DJ14" i="15"/>
  <c r="DJ13" i="15"/>
  <c r="DJ12" i="15"/>
  <c r="DJ11" i="15"/>
  <c r="DJ10" i="15"/>
  <c r="DJ9" i="15"/>
  <c r="DA9" i="15"/>
  <c r="CS9" i="15"/>
  <c r="CK9" i="15"/>
  <c r="CC9" i="15"/>
  <c r="BU9" i="15"/>
  <c r="BM9" i="15"/>
  <c r="BE9" i="15"/>
  <c r="AW9" i="15"/>
  <c r="AO9" i="15"/>
  <c r="AG9" i="15"/>
  <c r="Y9" i="15"/>
  <c r="DJ8" i="15"/>
  <c r="K8" i="15"/>
  <c r="S8" i="15" s="1"/>
  <c r="DJ7" i="15"/>
  <c r="J7" i="15"/>
  <c r="S7" i="15" s="1"/>
  <c r="DJ6" i="15"/>
  <c r="I6" i="15"/>
  <c r="S6" i="15" s="1"/>
  <c r="DJ5" i="15"/>
  <c r="AD5" i="15"/>
  <c r="S5" i="15"/>
  <c r="DJ4" i="15"/>
  <c r="AD4" i="15"/>
  <c r="S4" i="15"/>
  <c r="DJ3" i="15"/>
  <c r="AD3" i="15"/>
  <c r="S3" i="15"/>
  <c r="DJ2" i="15"/>
  <c r="AD2" i="15"/>
  <c r="S2" i="15"/>
  <c r="AP57" i="14"/>
  <c r="AP56" i="14"/>
  <c r="AP55" i="14"/>
  <c r="AP54" i="14"/>
  <c r="AP53" i="14"/>
  <c r="AP52" i="14"/>
  <c r="AP51" i="14"/>
  <c r="AP50" i="14"/>
  <c r="AG50" i="14"/>
  <c r="Y50" i="14"/>
  <c r="AP49" i="14"/>
  <c r="AP48" i="14"/>
  <c r="AP47" i="14"/>
  <c r="AP46" i="14"/>
  <c r="AD46" i="14"/>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S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DJ107" i="11"/>
  <c r="DJ106" i="11"/>
  <c r="DJ105" i="11"/>
  <c r="DJ104" i="11"/>
  <c r="DJ103" i="11"/>
  <c r="DJ102" i="11"/>
  <c r="DJ101" i="11"/>
  <c r="DJ100" i="11"/>
  <c r="DA100" i="11"/>
  <c r="CS100" i="11"/>
  <c r="CK100" i="11"/>
  <c r="CC100" i="11"/>
  <c r="BU100" i="11"/>
  <c r="BM100" i="11"/>
  <c r="BE100" i="11"/>
  <c r="AW100" i="11"/>
  <c r="AO100" i="11"/>
  <c r="AG100" i="11"/>
  <c r="Y100" i="11"/>
  <c r="DJ99" i="11"/>
  <c r="DJ98" i="11"/>
  <c r="DJ97" i="11"/>
  <c r="DJ96" i="11"/>
  <c r="S96" i="11"/>
  <c r="I97" i="11" s="1"/>
  <c r="DJ95" i="11"/>
  <c r="DJ94" i="11"/>
  <c r="DJ93" i="11"/>
  <c r="AD93" i="11"/>
  <c r="DJ92" i="11"/>
  <c r="DJ91" i="11"/>
  <c r="DJ90" i="11"/>
  <c r="DJ89" i="11"/>
  <c r="DJ88" i="11"/>
  <c r="DJ87" i="11"/>
  <c r="DJ86" i="11"/>
  <c r="DA86" i="11"/>
  <c r="CS86" i="11"/>
  <c r="CK86" i="11"/>
  <c r="CC86" i="11"/>
  <c r="BU86" i="11"/>
  <c r="BM86" i="11"/>
  <c r="BE86" i="11"/>
  <c r="AW86" i="11"/>
  <c r="AO86" i="11"/>
  <c r="AG86" i="11"/>
  <c r="Y86" i="11"/>
  <c r="DJ85" i="11"/>
  <c r="DJ84" i="11"/>
  <c r="DJ83" i="11"/>
  <c r="DJ82" i="11"/>
  <c r="DJ81" i="11"/>
  <c r="DJ80" i="11"/>
  <c r="DJ79" i="11"/>
  <c r="AD79" i="11"/>
  <c r="DJ78" i="11"/>
  <c r="DJ77" i="11"/>
  <c r="DJ76" i="11"/>
  <c r="DJ75" i="11"/>
  <c r="DJ74" i="11"/>
  <c r="DJ73" i="11"/>
  <c r="DJ72" i="11"/>
  <c r="DA72" i="11"/>
  <c r="CS72" i="11"/>
  <c r="CK72" i="11"/>
  <c r="CC72" i="11"/>
  <c r="BU72" i="11"/>
  <c r="BM72" i="11"/>
  <c r="BE72" i="11"/>
  <c r="AW72" i="11"/>
  <c r="AO72" i="11"/>
  <c r="AG72" i="11"/>
  <c r="Y72" i="11"/>
  <c r="DJ71" i="11"/>
  <c r="DJ70" i="11"/>
  <c r="DJ69" i="11"/>
  <c r="DJ68" i="11"/>
  <c r="S68" i="11"/>
  <c r="I69" i="11" s="1"/>
  <c r="DJ67" i="11"/>
  <c r="DJ66" i="11"/>
  <c r="DJ65" i="11"/>
  <c r="AD65" i="11"/>
  <c r="DJ64" i="11"/>
  <c r="DJ63" i="11"/>
  <c r="DJ62" i="11"/>
  <c r="DJ61" i="11"/>
  <c r="DJ60" i="11"/>
  <c r="DJ59" i="11"/>
  <c r="DJ58" i="11"/>
  <c r="DA58" i="11"/>
  <c r="CS58" i="11"/>
  <c r="CK58" i="11"/>
  <c r="CC58" i="11"/>
  <c r="BU58" i="11"/>
  <c r="BM58" i="11"/>
  <c r="BE58" i="11"/>
  <c r="AW58" i="11"/>
  <c r="AO58" i="11"/>
  <c r="AG58" i="11"/>
  <c r="Y58" i="11"/>
  <c r="DJ57" i="11"/>
  <c r="DJ56" i="11"/>
  <c r="DJ55" i="11"/>
  <c r="DJ54" i="11"/>
  <c r="DA54" i="11"/>
  <c r="CS54" i="11"/>
  <c r="CK54" i="11"/>
  <c r="CC54" i="11"/>
  <c r="BU54" i="11"/>
  <c r="BM54" i="11"/>
  <c r="BE54" i="11"/>
  <c r="AW54" i="11"/>
  <c r="AO54" i="11"/>
  <c r="AG54" i="11"/>
  <c r="Y54" i="11"/>
  <c r="DJ53" i="11"/>
  <c r="DJ52" i="11"/>
  <c r="DJ51" i="11"/>
  <c r="DJ50" i="11"/>
  <c r="DA50" i="11"/>
  <c r="CS50" i="11"/>
  <c r="CK50" i="11"/>
  <c r="CC50" i="11"/>
  <c r="BU50" i="11"/>
  <c r="BM50" i="11"/>
  <c r="BE50" i="11"/>
  <c r="AW50" i="11"/>
  <c r="AO50" i="11"/>
  <c r="AG50" i="11"/>
  <c r="Y50" i="11"/>
  <c r="DJ49" i="11"/>
  <c r="DJ48" i="11"/>
  <c r="DJ47" i="11"/>
  <c r="DJ46" i="11"/>
  <c r="DJ45" i="11"/>
  <c r="AD45" i="11"/>
  <c r="DJ44" i="11"/>
  <c r="S44" i="11"/>
  <c r="DJ43" i="11"/>
  <c r="DG43" i="11"/>
  <c r="S43" i="11"/>
  <c r="CZ42" i="11"/>
  <c r="DA42" i="11" s="1"/>
  <c r="DB42" i="11" s="1"/>
  <c r="DC42" i="11" s="1"/>
  <c r="DE42" i="11" s="1"/>
  <c r="DF42" i="11" s="1"/>
  <c r="DG42" i="11" s="1"/>
  <c r="CR42" i="11"/>
  <c r="CS42" i="11" s="1"/>
  <c r="CT42" i="11" s="1"/>
  <c r="CU42" i="11" s="1"/>
  <c r="CW42" i="11" s="1"/>
  <c r="CX42" i="11" s="1"/>
  <c r="CJ42" i="11"/>
  <c r="CK42" i="11" s="1"/>
  <c r="CL42" i="11" s="1"/>
  <c r="CM42" i="11" s="1"/>
  <c r="CO42" i="11" s="1"/>
  <c r="CP42" i="11" s="1"/>
  <c r="CB42" i="11"/>
  <c r="CC42" i="11" s="1"/>
  <c r="CD42" i="11" s="1"/>
  <c r="CE42" i="11" s="1"/>
  <c r="CG42" i="11" s="1"/>
  <c r="CH42" i="11" s="1"/>
  <c r="BT42" i="11"/>
  <c r="BU42" i="11" s="1"/>
  <c r="BV42" i="11" s="1"/>
  <c r="BW42" i="11" s="1"/>
  <c r="BY42" i="11" s="1"/>
  <c r="BZ42" i="11" s="1"/>
  <c r="BL42" i="11"/>
  <c r="BM42" i="11" s="1"/>
  <c r="BN42" i="11" s="1"/>
  <c r="BO42" i="11" s="1"/>
  <c r="BQ42" i="11" s="1"/>
  <c r="BR42" i="11" s="1"/>
  <c r="BD42" i="11"/>
  <c r="BE42" i="11" s="1"/>
  <c r="BF42" i="11" s="1"/>
  <c r="BG42" i="11" s="1"/>
  <c r="BI42" i="11" s="1"/>
  <c r="BJ42" i="11" s="1"/>
  <c r="AV42" i="11"/>
  <c r="AW42" i="11" s="1"/>
  <c r="AX42" i="11" s="1"/>
  <c r="AY42" i="11" s="1"/>
  <c r="BA42" i="11" s="1"/>
  <c r="BB42" i="11" s="1"/>
  <c r="AN42" i="11"/>
  <c r="AO42" i="11" s="1"/>
  <c r="AP42" i="11" s="1"/>
  <c r="AQ42" i="11" s="1"/>
  <c r="AS42" i="11" s="1"/>
  <c r="AT42" i="11" s="1"/>
  <c r="AF42" i="11"/>
  <c r="AG42" i="11" s="1"/>
  <c r="AH42" i="11" s="1"/>
  <c r="AI42" i="11" s="1"/>
  <c r="AK42" i="11" s="1"/>
  <c r="AL42" i="11" s="1"/>
  <c r="X42" i="11"/>
  <c r="Y42" i="11" s="1"/>
  <c r="Z42" i="11" s="1"/>
  <c r="AA42" i="11" s="1"/>
  <c r="AC42" i="11" s="1"/>
  <c r="AD42" i="11" s="1"/>
  <c r="U42" i="11"/>
  <c r="V42" i="11" s="1"/>
  <c r="CX35" i="11"/>
  <c r="CP35" i="11"/>
  <c r="CH35" i="11"/>
  <c r="BZ35" i="11"/>
  <c r="BR35" i="11"/>
  <c r="BJ35" i="11"/>
  <c r="BB35" i="11"/>
  <c r="AT35" i="11"/>
  <c r="AL35" i="11"/>
  <c r="AD35" i="11"/>
  <c r="V35" i="11"/>
  <c r="CX34" i="11"/>
  <c r="CP34" i="11"/>
  <c r="CH34" i="11"/>
  <c r="BZ34" i="11"/>
  <c r="BR34" i="11"/>
  <c r="BJ34" i="11"/>
  <c r="BB34" i="11"/>
  <c r="AT34" i="11"/>
  <c r="AL34" i="11"/>
  <c r="AD34" i="11"/>
  <c r="V34" i="11"/>
  <c r="CX32" i="11"/>
  <c r="CP32" i="11"/>
  <c r="CH32" i="11"/>
  <c r="BZ32" i="11"/>
  <c r="BR32" i="11"/>
  <c r="BJ32" i="11"/>
  <c r="BB32" i="11"/>
  <c r="AT32" i="11"/>
  <c r="AL32" i="11"/>
  <c r="AD32" i="11"/>
  <c r="V32" i="11"/>
  <c r="CX31" i="11"/>
  <c r="CP31" i="11"/>
  <c r="CH31" i="11"/>
  <c r="BZ31" i="11"/>
  <c r="BR31" i="11"/>
  <c r="BJ31" i="11"/>
  <c r="BB31" i="11"/>
  <c r="AT31" i="11"/>
  <c r="AL31" i="11"/>
  <c r="AD31" i="11"/>
  <c r="V31" i="11"/>
  <c r="CX30" i="11"/>
  <c r="CP30" i="11"/>
  <c r="CH30" i="11"/>
  <c r="BZ30" i="11"/>
  <c r="BR30" i="11"/>
  <c r="BJ30" i="11"/>
  <c r="BB30" i="11"/>
  <c r="AT30" i="11"/>
  <c r="AL30" i="11"/>
  <c r="AD30" i="11"/>
  <c r="V30" i="11"/>
  <c r="CX29" i="11"/>
  <c r="CP29" i="11"/>
  <c r="CH29" i="11"/>
  <c r="BZ29" i="11"/>
  <c r="BR29" i="11"/>
  <c r="BJ29" i="11"/>
  <c r="BB29" i="11"/>
  <c r="AT29" i="11"/>
  <c r="AL29" i="11"/>
  <c r="AD29" i="11"/>
  <c r="V29" i="11"/>
  <c r="S27" i="11"/>
  <c r="S26" i="11"/>
  <c r="AG18" i="11"/>
  <c r="DJ15" i="11"/>
  <c r="DJ14" i="11"/>
  <c r="DJ13" i="11"/>
  <c r="DJ12" i="11"/>
  <c r="DJ11" i="11"/>
  <c r="DJ10" i="11"/>
  <c r="DJ9" i="11"/>
  <c r="DA9" i="11"/>
  <c r="CS9" i="11"/>
  <c r="CK9" i="11"/>
  <c r="CC9" i="11"/>
  <c r="BU9" i="11"/>
  <c r="BM9" i="11"/>
  <c r="BE9" i="11"/>
  <c r="AW9" i="11"/>
  <c r="AO9" i="11"/>
  <c r="AG9" i="11"/>
  <c r="Y9" i="11"/>
  <c r="DJ8" i="11"/>
  <c r="DJ7" i="11"/>
  <c r="DJ6" i="11"/>
  <c r="DJ5" i="11"/>
  <c r="AD5" i="11"/>
  <c r="S5" i="11"/>
  <c r="I6" i="11" s="1"/>
  <c r="DJ4" i="11"/>
  <c r="AD4" i="11"/>
  <c r="S4" i="11"/>
  <c r="DJ3" i="11"/>
  <c r="AD3" i="11"/>
  <c r="S3" i="11"/>
  <c r="DJ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4" i="7"/>
  <c r="D5" i="6"/>
  <c r="AQ143" i="5"/>
  <c r="AP143" i="5"/>
  <c r="S48" i="29" s="1"/>
  <c r="K52" i="29" s="1"/>
  <c r="S52" i="29" s="1"/>
  <c r="AO143" i="5"/>
  <c r="S47" i="29" s="1"/>
  <c r="AN143" i="5"/>
  <c r="S46" i="29" s="1"/>
  <c r="AM143" i="5"/>
  <c r="AL143" i="5"/>
  <c r="AD48" i="29" s="1"/>
  <c r="AK143" i="5"/>
  <c r="AD47" i="29" s="1"/>
  <c r="AJ143" i="5"/>
  <c r="AI143" i="5"/>
  <c r="AH143" i="5"/>
  <c r="AQ138" i="5"/>
  <c r="AP138" i="5"/>
  <c r="S43" i="28" s="1"/>
  <c r="I44" i="28" s="1"/>
  <c r="AO138" i="5"/>
  <c r="S42" i="28" s="1"/>
  <c r="AN138" i="5"/>
  <c r="S41" i="28" s="1"/>
  <c r="AM138" i="5"/>
  <c r="AL138" i="5"/>
  <c r="AC43" i="28" s="1"/>
  <c r="AK138" i="5"/>
  <c r="AC42" i="28" s="1"/>
  <c r="AJ138" i="5"/>
  <c r="AI138" i="5"/>
  <c r="AH138" i="5"/>
  <c r="AQ133" i="5"/>
  <c r="AP133" i="5"/>
  <c r="S43" i="27" s="1"/>
  <c r="I44" i="27" s="1"/>
  <c r="AO133" i="5"/>
  <c r="S42" i="27" s="1"/>
  <c r="AN133" i="5"/>
  <c r="S41" i="27" s="1"/>
  <c r="AM133" i="5"/>
  <c r="AL133" i="5"/>
  <c r="AC43" i="27" s="1"/>
  <c r="AK133" i="5"/>
  <c r="AC42" i="27" s="1"/>
  <c r="AJ133" i="5"/>
  <c r="AI133" i="5"/>
  <c r="AH133" i="5"/>
  <c r="AQ127" i="5"/>
  <c r="AP127" i="5"/>
  <c r="S48" i="32" s="1"/>
  <c r="K52" i="32" s="1"/>
  <c r="S52" i="32" s="1"/>
  <c r="AO127" i="5"/>
  <c r="S47" i="32" s="1"/>
  <c r="AN127" i="5"/>
  <c r="S46" i="32" s="1"/>
  <c r="AM127" i="5"/>
  <c r="AL127" i="5"/>
  <c r="AD48" i="32" s="1"/>
  <c r="AK127" i="5"/>
  <c r="AD47" i="32" s="1"/>
  <c r="AJ127" i="5"/>
  <c r="AI127" i="5"/>
  <c r="AH127" i="5"/>
  <c r="AQ122" i="5"/>
  <c r="AP122" i="5"/>
  <c r="S44" i="31" s="1"/>
  <c r="I45" i="31" s="1"/>
  <c r="S45" i="31" s="1"/>
  <c r="AO122" i="5"/>
  <c r="S43" i="31" s="1"/>
  <c r="AN122" i="5"/>
  <c r="S42" i="31" s="1"/>
  <c r="AM122" i="5"/>
  <c r="AL122" i="5"/>
  <c r="AG44" i="31" s="1"/>
  <c r="AK122" i="5"/>
  <c r="AJ122" i="5"/>
  <c r="AI122" i="5"/>
  <c r="AH122" i="5"/>
  <c r="AQ117" i="5"/>
  <c r="AP117" i="5"/>
  <c r="S44" i="30" s="1"/>
  <c r="I45" i="30" s="1"/>
  <c r="AO117" i="5"/>
  <c r="S43" i="30" s="1"/>
  <c r="AN117" i="5"/>
  <c r="S42" i="30" s="1"/>
  <c r="AM117" i="5"/>
  <c r="AL117" i="5"/>
  <c r="AG44" i="30" s="1"/>
  <c r="AK117" i="5"/>
  <c r="AG43" i="30" s="1"/>
  <c r="AJ117" i="5"/>
  <c r="AI117" i="5"/>
  <c r="AH117" i="5"/>
  <c r="AQ111" i="5"/>
  <c r="AP111" i="5"/>
  <c r="S48" i="26" s="1"/>
  <c r="K52" i="26" s="1"/>
  <c r="S52" i="26" s="1"/>
  <c r="AO111" i="5"/>
  <c r="S47" i="26" s="1"/>
  <c r="AN111" i="5"/>
  <c r="S46" i="26" s="1"/>
  <c r="AM111" i="5"/>
  <c r="AL111" i="5"/>
  <c r="AD48" i="26" s="1"/>
  <c r="AK111" i="5"/>
  <c r="AD47" i="26" s="1"/>
  <c r="AJ111" i="5"/>
  <c r="AI111" i="5"/>
  <c r="AH111" i="5"/>
  <c r="AQ106" i="5"/>
  <c r="AP106" i="5"/>
  <c r="S43" i="24" s="1"/>
  <c r="I44" i="24" s="1"/>
  <c r="AO106" i="5"/>
  <c r="S42" i="24" s="1"/>
  <c r="AN106" i="5"/>
  <c r="S41" i="24" s="1"/>
  <c r="AM106" i="5"/>
  <c r="AL106" i="5"/>
  <c r="AK106" i="5"/>
  <c r="AC42" i="24" s="1"/>
  <c r="AJ106" i="5"/>
  <c r="AI106" i="5"/>
  <c r="AH106" i="5"/>
  <c r="AQ101" i="5"/>
  <c r="AP101" i="5"/>
  <c r="S43" i="23" s="1"/>
  <c r="I44" i="23" s="1"/>
  <c r="AO101" i="5"/>
  <c r="S42" i="23" s="1"/>
  <c r="AN101" i="5"/>
  <c r="S41" i="23" s="1"/>
  <c r="AM101" i="5"/>
  <c r="AL101" i="5"/>
  <c r="AC43" i="23" s="1"/>
  <c r="AK101" i="5"/>
  <c r="AC42" i="23" s="1"/>
  <c r="AJ101" i="5"/>
  <c r="AI101" i="5"/>
  <c r="AH101" i="5"/>
  <c r="AQ96" i="5"/>
  <c r="AP96" i="5"/>
  <c r="S43" i="22" s="1"/>
  <c r="AO96" i="5"/>
  <c r="S42" i="22" s="1"/>
  <c r="AN96" i="5"/>
  <c r="S41" i="22" s="1"/>
  <c r="AM96" i="5"/>
  <c r="AL96" i="5"/>
  <c r="AC43" i="22" s="1"/>
  <c r="AK96" i="5"/>
  <c r="AC42" i="22" s="1"/>
  <c r="AJ96" i="5"/>
  <c r="AI96" i="5"/>
  <c r="AH96" i="5"/>
  <c r="AQ91" i="5"/>
  <c r="AP91" i="5"/>
  <c r="S43" i="21" s="1"/>
  <c r="I44" i="21" s="1"/>
  <c r="AO91" i="5"/>
  <c r="S42" i="21" s="1"/>
  <c r="AN91" i="5"/>
  <c r="S41" i="21" s="1"/>
  <c r="AM91" i="5"/>
  <c r="AL91" i="5"/>
  <c r="AC43" i="21" s="1"/>
  <c r="AK91" i="5"/>
  <c r="AC42" i="21" s="1"/>
  <c r="AJ91" i="5"/>
  <c r="AI91" i="5"/>
  <c r="AH91" i="5"/>
  <c r="AQ75" i="5"/>
  <c r="S46" i="14" s="1"/>
  <c r="I47" i="14" s="1"/>
  <c r="AP75" i="5"/>
  <c r="S45" i="13" s="1"/>
  <c r="AO75" i="5"/>
  <c r="S44" i="13" s="1"/>
  <c r="AN75" i="5"/>
  <c r="S43" i="13" s="1"/>
  <c r="AM75" i="5"/>
  <c r="AD46" i="13" s="1"/>
  <c r="AL75" i="5"/>
  <c r="AD45" i="13" s="1"/>
  <c r="AK75" i="5"/>
  <c r="AD44" i="14" s="1"/>
  <c r="AJ75" i="5"/>
  <c r="AD43" i="14" s="1"/>
  <c r="AI75" i="5"/>
  <c r="AH75" i="5"/>
  <c r="AQ70" i="5"/>
  <c r="S45" i="25" s="1"/>
  <c r="AP70" i="5"/>
  <c r="S44" i="25" s="1"/>
  <c r="AO70" i="5"/>
  <c r="S43" i="25" s="1"/>
  <c r="AN70" i="5"/>
  <c r="S42" i="25" s="1"/>
  <c r="AM70" i="5"/>
  <c r="AC45" i="25" s="1"/>
  <c r="AL70" i="5"/>
  <c r="AC44" i="25" s="1"/>
  <c r="AK70" i="5"/>
  <c r="AC43" i="25" s="1"/>
  <c r="AJ70" i="5"/>
  <c r="AI70" i="5"/>
  <c r="AH70" i="5"/>
  <c r="AQ65" i="5"/>
  <c r="S48" i="20" s="1"/>
  <c r="AP65" i="5"/>
  <c r="S47" i="20" s="1"/>
  <c r="AO65" i="5"/>
  <c r="S46" i="20" s="1"/>
  <c r="AN65" i="5"/>
  <c r="S45" i="20" s="1"/>
  <c r="AM65" i="5"/>
  <c r="AB48" i="20" s="1"/>
  <c r="AL65" i="5"/>
  <c r="AB47" i="20" s="1"/>
  <c r="AK65" i="5"/>
  <c r="AB46" i="20" s="1"/>
  <c r="AJ65" i="5"/>
  <c r="AI65" i="5"/>
  <c r="AH65" i="5"/>
  <c r="AQ60" i="5"/>
  <c r="S46" i="15" s="1"/>
  <c r="I47" i="15" s="1"/>
  <c r="AP60" i="5"/>
  <c r="S45" i="15" s="1"/>
  <c r="AO60" i="5"/>
  <c r="AN60" i="5"/>
  <c r="AM60" i="5"/>
  <c r="AD46" i="15" s="1"/>
  <c r="AL60" i="5"/>
  <c r="AD45" i="15" s="1"/>
  <c r="AK60" i="5"/>
  <c r="AD44" i="15" s="1"/>
  <c r="AJ60" i="5"/>
  <c r="AD43" i="15" s="1"/>
  <c r="AI60" i="5"/>
  <c r="AH60" i="5"/>
  <c r="G60" i="5"/>
  <c r="AQ55" i="5"/>
  <c r="S46" i="18" s="1"/>
  <c r="I47" i="18" s="1"/>
  <c r="AP55" i="5"/>
  <c r="AO55" i="5"/>
  <c r="S44" i="18" s="1"/>
  <c r="AN55" i="5"/>
  <c r="S43" i="18" s="1"/>
  <c r="AM55" i="5"/>
  <c r="AD46" i="18" s="1"/>
  <c r="AL55" i="5"/>
  <c r="AD45" i="18" s="1"/>
  <c r="AK55" i="5"/>
  <c r="AD44" i="18" s="1"/>
  <c r="AJ55" i="5"/>
  <c r="AI55" i="5"/>
  <c r="AH55" i="5"/>
  <c r="AQ50" i="5"/>
  <c r="S46" i="17" s="1"/>
  <c r="I47" i="17" s="1"/>
  <c r="AP50" i="5"/>
  <c r="AO50" i="5"/>
  <c r="S44" i="17" s="1"/>
  <c r="AN50" i="5"/>
  <c r="S43" i="17" s="1"/>
  <c r="AM50" i="5"/>
  <c r="AD46" i="17" s="1"/>
  <c r="AL50" i="5"/>
  <c r="AD45" i="17" s="1"/>
  <c r="AK50" i="5"/>
  <c r="AD44" i="17" s="1"/>
  <c r="AJ50" i="5"/>
  <c r="AI50" i="5"/>
  <c r="AH50" i="5"/>
  <c r="AQ45" i="5"/>
  <c r="U52" i="19" s="1"/>
  <c r="I53" i="19" s="1"/>
  <c r="J64" i="19" s="1"/>
  <c r="AP45" i="5"/>
  <c r="U51" i="19" s="1"/>
  <c r="AO45" i="5"/>
  <c r="U50" i="19" s="1"/>
  <c r="AN45" i="5"/>
  <c r="U49" i="19" s="1"/>
  <c r="AM45" i="5"/>
  <c r="AG52" i="19" s="1"/>
  <c r="AL45" i="5"/>
  <c r="AK45" i="5"/>
  <c r="AG50" i="19" s="1"/>
  <c r="AJ45" i="5"/>
  <c r="AH45" i="5"/>
  <c r="G45" i="5"/>
  <c r="AI45" i="5" s="1"/>
  <c r="AQ40" i="5"/>
  <c r="AP40" i="5"/>
  <c r="AO40" i="5"/>
  <c r="L20" i="64" s="1"/>
  <c r="AN40" i="5"/>
  <c r="L19" i="64" s="1"/>
  <c r="AM40" i="5"/>
  <c r="AL40" i="5"/>
  <c r="O21" i="64" s="1"/>
  <c r="AK40" i="5"/>
  <c r="AJ40" i="5"/>
  <c r="AH40" i="5"/>
  <c r="G40" i="5"/>
  <c r="AI40" i="5" s="1"/>
  <c r="AQ30" i="5"/>
  <c r="S46" i="12" s="1"/>
  <c r="I47" i="12" s="1"/>
  <c r="AP30" i="5"/>
  <c r="AO30" i="5"/>
  <c r="S44" i="12" s="1"/>
  <c r="AN30" i="5"/>
  <c r="S43" i="12" s="1"/>
  <c r="AM30" i="5"/>
  <c r="AD46" i="12" s="1"/>
  <c r="AL30" i="5"/>
  <c r="AD45" i="12" s="1"/>
  <c r="AK30" i="5"/>
  <c r="AD44" i="12" s="1"/>
  <c r="AJ30" i="5"/>
  <c r="AD43" i="12" s="1"/>
  <c r="AI30" i="5"/>
  <c r="AH30" i="5"/>
  <c r="AQ25" i="5"/>
  <c r="AP25" i="5"/>
  <c r="S95" i="11" s="1"/>
  <c r="AO25" i="5"/>
  <c r="S94" i="11" s="1"/>
  <c r="AN25" i="5"/>
  <c r="S93" i="11" s="1"/>
  <c r="AM25" i="5"/>
  <c r="AD96" i="11" s="1"/>
  <c r="AL25" i="5"/>
  <c r="AD95" i="11" s="1"/>
  <c r="AK25" i="5"/>
  <c r="AD94" i="11" s="1"/>
  <c r="AJ25" i="5"/>
  <c r="AH25" i="5"/>
  <c r="AQ21" i="5"/>
  <c r="S82" i="11" s="1"/>
  <c r="I83" i="11" s="1"/>
  <c r="AP21" i="5"/>
  <c r="S81" i="11" s="1"/>
  <c r="AO21" i="5"/>
  <c r="S80" i="11" s="1"/>
  <c r="AN21" i="5"/>
  <c r="S79" i="11" s="1"/>
  <c r="AM21" i="5"/>
  <c r="AD82" i="11" s="1"/>
  <c r="AL21" i="5"/>
  <c r="AD81" i="11" s="1"/>
  <c r="AK21" i="5"/>
  <c r="AD80" i="11" s="1"/>
  <c r="AJ21" i="5"/>
  <c r="AI21" i="5"/>
  <c r="AH21" i="5"/>
  <c r="AQ17" i="5"/>
  <c r="AP17" i="5"/>
  <c r="S67" i="11" s="1"/>
  <c r="AO17" i="5"/>
  <c r="S66" i="11" s="1"/>
  <c r="AN17" i="5"/>
  <c r="S65" i="11" s="1"/>
  <c r="AM17" i="5"/>
  <c r="AD68" i="11" s="1"/>
  <c r="AL17" i="5"/>
  <c r="AD67" i="11" s="1"/>
  <c r="AK17" i="5"/>
  <c r="AD66" i="11" s="1"/>
  <c r="AJ17" i="5"/>
  <c r="AH17" i="5"/>
  <c r="AQ13" i="5"/>
  <c r="S46" i="11" s="1"/>
  <c r="I47" i="11" s="1"/>
  <c r="AP13" i="5"/>
  <c r="S45" i="11" s="1"/>
  <c r="AO13" i="5"/>
  <c r="AN13" i="5"/>
  <c r="AM13" i="5"/>
  <c r="AD46" i="11" s="1"/>
  <c r="AL13" i="5"/>
  <c r="AK13" i="5"/>
  <c r="AD44" i="11" s="1"/>
  <c r="AJ13" i="5"/>
  <c r="AD43" i="11" s="1"/>
  <c r="AI13" i="5"/>
  <c r="AH13" i="5"/>
  <c r="G13" i="5"/>
  <c r="AI25" i="5" s="1"/>
  <c r="D6" i="5"/>
  <c r="D5" i="5"/>
  <c r="R13" i="4"/>
  <c r="P13" i="4"/>
  <c r="I13" i="4"/>
  <c r="Q13" i="4" s="1"/>
  <c r="E7" i="4"/>
  <c r="D5" i="4"/>
  <c r="O13" i="3"/>
  <c r="M13" i="3" a="1"/>
  <c r="M13" i="3"/>
  <c r="E13" i="3"/>
  <c r="E12" i="3"/>
  <c r="G12" i="3" s="1"/>
  <c r="E4" i="3"/>
  <c r="E59" i="2"/>
  <c r="E49" i="2"/>
  <c r="E41" i="2"/>
  <c r="E31" i="2"/>
  <c r="E27" i="2"/>
  <c r="E26" i="2"/>
  <c r="F25" i="2"/>
  <c r="E22" i="2"/>
  <c r="E21" i="2"/>
  <c r="F20" i="2"/>
  <c r="E19" i="2"/>
  <c r="I9" i="2"/>
  <c r="E3" i="2"/>
  <c r="E2" i="2"/>
  <c r="Y25" i="64"/>
  <c r="M10" i="55"/>
  <c r="M2" i="55"/>
  <c r="M2" i="54"/>
  <c r="M10" i="54"/>
  <c r="AL46" i="27"/>
  <c r="AL46" i="24"/>
  <c r="AT47" i="31"/>
  <c r="AL46" i="23"/>
  <c r="AT7" i="31"/>
  <c r="AT47" i="30"/>
  <c r="AL7" i="28"/>
  <c r="AL48" i="25"/>
  <c r="AL8" i="25"/>
  <c r="AL7" i="23"/>
  <c r="AL7" i="22"/>
  <c r="AV8" i="20"/>
  <c r="DU61" i="19"/>
  <c r="AL46" i="28"/>
  <c r="AL7" i="27"/>
  <c r="AL46" i="22"/>
  <c r="AL7" i="21"/>
  <c r="AV51" i="20"/>
  <c r="DU67" i="19"/>
  <c r="AN49" i="18"/>
  <c r="AN49" i="17"/>
  <c r="DU8" i="19"/>
  <c r="AN8" i="18"/>
  <c r="AN8" i="17"/>
  <c r="DH99" i="11"/>
  <c r="DH85" i="11"/>
  <c r="DH71" i="11"/>
  <c r="J13" i="3"/>
  <c r="AL7" i="24"/>
  <c r="AN8" i="14"/>
  <c r="AN49" i="13"/>
  <c r="AN8" i="12"/>
  <c r="DU55" i="19"/>
  <c r="DH49" i="16"/>
  <c r="DH8" i="15"/>
  <c r="AN49" i="14"/>
  <c r="AN8" i="13"/>
  <c r="AN49" i="12"/>
  <c r="DH53" i="11"/>
  <c r="DH8" i="11"/>
  <c r="DU56" i="19"/>
  <c r="AT7" i="30"/>
  <c r="AL46" i="21"/>
  <c r="DH8" i="16"/>
  <c r="DH49" i="15"/>
  <c r="DH57" i="11"/>
  <c r="DH49" i="11"/>
  <c r="G53" i="51" l="1"/>
  <c r="G50" i="51"/>
  <c r="G49" i="51"/>
  <c r="J45" i="21"/>
  <c r="S44" i="21"/>
  <c r="J70" i="11"/>
  <c r="S69" i="11"/>
  <c r="I10" i="50"/>
  <c r="I27" i="40"/>
  <c r="M11" i="35"/>
  <c r="I8" i="39"/>
  <c r="H15" i="34"/>
  <c r="I11" i="37"/>
  <c r="H10" i="45"/>
  <c r="I26" i="33"/>
  <c r="I11" i="38"/>
  <c r="J48" i="15"/>
  <c r="S47" i="15"/>
  <c r="J98" i="11"/>
  <c r="S97" i="11"/>
  <c r="S7" i="12"/>
  <c r="K8" i="12"/>
  <c r="S8" i="12" s="1"/>
  <c r="S7" i="14"/>
  <c r="K8" i="14"/>
  <c r="S8" i="14" s="1"/>
  <c r="D34" i="7"/>
  <c r="D35" i="7"/>
  <c r="D37" i="7"/>
  <c r="D38" i="7" s="1"/>
  <c r="D39" i="7" s="1"/>
  <c r="D36" i="7"/>
  <c r="S47" i="12"/>
  <c r="J48" i="12"/>
  <c r="S6" i="11"/>
  <c r="J7" i="11"/>
  <c r="J58" i="11"/>
  <c r="J56" i="11"/>
  <c r="J53" i="11"/>
  <c r="J52" i="11"/>
  <c r="J48" i="11"/>
  <c r="J57" i="11"/>
  <c r="S47" i="11"/>
  <c r="J59" i="11"/>
  <c r="J54" i="11"/>
  <c r="J55" i="11"/>
  <c r="S83" i="11"/>
  <c r="J84" i="11"/>
  <c r="K51" i="20"/>
  <c r="S51" i="20" s="1"/>
  <c r="I49" i="20"/>
  <c r="J50" i="20"/>
  <c r="S47" i="14"/>
  <c r="J48" i="14"/>
  <c r="S6" i="13"/>
  <c r="J7" i="13"/>
  <c r="S44" i="23"/>
  <c r="J45" i="23"/>
  <c r="F138" i="48"/>
  <c r="F339" i="48"/>
  <c r="F69" i="48"/>
  <c r="F272" i="48"/>
  <c r="F205" i="48"/>
  <c r="G208" i="48"/>
  <c r="G141" i="48"/>
  <c r="G342" i="48"/>
  <c r="G275" i="48"/>
  <c r="G72" i="48"/>
  <c r="AG42" i="30"/>
  <c r="F144" i="48"/>
  <c r="F345" i="48"/>
  <c r="F75" i="48"/>
  <c r="F278" i="48"/>
  <c r="F211" i="48"/>
  <c r="F150" i="48"/>
  <c r="F351" i="48"/>
  <c r="F81" i="48"/>
  <c r="F284" i="48"/>
  <c r="F217" i="48"/>
  <c r="F156" i="48"/>
  <c r="F357" i="48"/>
  <c r="F87" i="48"/>
  <c r="F290" i="48"/>
  <c r="F223" i="48"/>
  <c r="AD43" i="13"/>
  <c r="I10" i="38"/>
  <c r="I10" i="37"/>
  <c r="H9" i="45"/>
  <c r="I9" i="50"/>
  <c r="I26" i="40"/>
  <c r="I7" i="39"/>
  <c r="H14" i="34"/>
  <c r="M10" i="35"/>
  <c r="I25" i="33"/>
  <c r="F108" i="48"/>
  <c r="F309" i="48"/>
  <c r="F39" i="48"/>
  <c r="F242" i="48"/>
  <c r="F175" i="48"/>
  <c r="K48" i="25"/>
  <c r="S48" i="25" s="1"/>
  <c r="I46" i="25"/>
  <c r="J47" i="25"/>
  <c r="D20" i="7"/>
  <c r="S6" i="12"/>
  <c r="S46" i="13"/>
  <c r="I47" i="13" s="1"/>
  <c r="S6" i="14"/>
  <c r="S43" i="14"/>
  <c r="S44" i="14"/>
  <c r="AD45" i="14"/>
  <c r="S7" i="16"/>
  <c r="J48" i="17"/>
  <c r="J48" i="18"/>
  <c r="J6" i="21"/>
  <c r="S5" i="21"/>
  <c r="O19" i="64"/>
  <c r="G172" i="48"/>
  <c r="G105" i="48"/>
  <c r="G306" i="48"/>
  <c r="G239" i="48"/>
  <c r="G36" i="48"/>
  <c r="AD43" i="16"/>
  <c r="F257" i="48"/>
  <c r="F190" i="48"/>
  <c r="F123" i="48"/>
  <c r="F324" i="48"/>
  <c r="F54" i="48"/>
  <c r="S44" i="27"/>
  <c r="J45" i="27"/>
  <c r="J45" i="22"/>
  <c r="S44" i="22"/>
  <c r="J46" i="31"/>
  <c r="G160" i="48"/>
  <c r="G93" i="48"/>
  <c r="G2" i="48"/>
  <c r="G294" i="48"/>
  <c r="G227" i="48"/>
  <c r="G24" i="48"/>
  <c r="G5" i="48"/>
  <c r="G178" i="48"/>
  <c r="G111" i="48"/>
  <c r="G312" i="48"/>
  <c r="G245" i="48"/>
  <c r="G42" i="48"/>
  <c r="AD43" i="17"/>
  <c r="F114" i="48"/>
  <c r="F315" i="48"/>
  <c r="F45" i="48"/>
  <c r="F248" i="48"/>
  <c r="F181" i="48"/>
  <c r="AI17" i="5"/>
  <c r="F239" i="48"/>
  <c r="F172" i="48"/>
  <c r="F105" i="48"/>
  <c r="F306" i="48"/>
  <c r="F36" i="48"/>
  <c r="L21" i="64"/>
  <c r="S45" i="16"/>
  <c r="J70" i="19"/>
  <c r="J68" i="19"/>
  <c r="J66" i="19"/>
  <c r="J63" i="19"/>
  <c r="J61" i="19"/>
  <c r="J54" i="19"/>
  <c r="J69" i="19"/>
  <c r="J67" i="19"/>
  <c r="J65" i="19"/>
  <c r="G184" i="48"/>
  <c r="G117" i="48"/>
  <c r="G318" i="48"/>
  <c r="G251" i="48"/>
  <c r="G48" i="48"/>
  <c r="F120" i="48"/>
  <c r="F321" i="48"/>
  <c r="F51" i="48"/>
  <c r="F254" i="48"/>
  <c r="F187" i="48"/>
  <c r="G190" i="48"/>
  <c r="G123" i="48"/>
  <c r="G324" i="48"/>
  <c r="G257" i="48"/>
  <c r="AC42" i="25"/>
  <c r="G54" i="48"/>
  <c r="G327" i="48"/>
  <c r="G57" i="48"/>
  <c r="G260" i="48"/>
  <c r="G193" i="48"/>
  <c r="G126" i="48"/>
  <c r="AC41" i="21"/>
  <c r="F263" i="48"/>
  <c r="F196" i="48"/>
  <c r="F129" i="48"/>
  <c r="F330" i="48"/>
  <c r="F60" i="48"/>
  <c r="G333" i="48"/>
  <c r="G63" i="48"/>
  <c r="G266" i="48"/>
  <c r="G199" i="48"/>
  <c r="G132" i="48"/>
  <c r="F269" i="48"/>
  <c r="F202" i="48"/>
  <c r="F135" i="48"/>
  <c r="F336" i="48"/>
  <c r="F66" i="48"/>
  <c r="S44" i="24"/>
  <c r="J45" i="24"/>
  <c r="G339" i="48"/>
  <c r="G69" i="48"/>
  <c r="G272" i="48"/>
  <c r="G205" i="48"/>
  <c r="G138" i="48"/>
  <c r="AD46" i="26"/>
  <c r="F275" i="48"/>
  <c r="F208" i="48"/>
  <c r="F141" i="48"/>
  <c r="F342" i="48"/>
  <c r="F72" i="48"/>
  <c r="J46" i="30"/>
  <c r="S45" i="30"/>
  <c r="G345" i="48"/>
  <c r="G75" i="48"/>
  <c r="G278" i="48"/>
  <c r="G211" i="48"/>
  <c r="G144" i="48"/>
  <c r="AG42" i="31"/>
  <c r="F281" i="48"/>
  <c r="F214" i="48"/>
  <c r="F147" i="48"/>
  <c r="F348" i="48"/>
  <c r="F78" i="48"/>
  <c r="G351" i="48"/>
  <c r="G81" i="48"/>
  <c r="G284" i="48"/>
  <c r="G217" i="48"/>
  <c r="G150" i="48"/>
  <c r="AC41" i="27"/>
  <c r="F287" i="48"/>
  <c r="F220" i="48"/>
  <c r="F153" i="48"/>
  <c r="F354" i="48"/>
  <c r="F84" i="48"/>
  <c r="J45" i="28"/>
  <c r="S44" i="28"/>
  <c r="G357" i="48"/>
  <c r="G87" i="48"/>
  <c r="G290" i="48"/>
  <c r="G223" i="48"/>
  <c r="G156" i="48"/>
  <c r="AD46" i="29"/>
  <c r="D21" i="7"/>
  <c r="S44" i="16"/>
  <c r="K61" i="19"/>
  <c r="S5" i="23"/>
  <c r="J6" i="23"/>
  <c r="J6" i="24"/>
  <c r="S5" i="24"/>
  <c r="F251" i="48"/>
  <c r="F184" i="48"/>
  <c r="F117" i="48"/>
  <c r="F318" i="48"/>
  <c r="F48" i="48"/>
  <c r="G321" i="48"/>
  <c r="G51" i="48"/>
  <c r="G254" i="48"/>
  <c r="G187" i="48"/>
  <c r="G120" i="48"/>
  <c r="AB45" i="20"/>
  <c r="F126" i="48"/>
  <c r="F327" i="48"/>
  <c r="F57" i="48"/>
  <c r="F260" i="48"/>
  <c r="F193" i="48"/>
  <c r="G196" i="48"/>
  <c r="G129" i="48"/>
  <c r="G330" i="48"/>
  <c r="G263" i="48"/>
  <c r="G60" i="48"/>
  <c r="AC41" i="22"/>
  <c r="F132" i="48"/>
  <c r="F333" i="48"/>
  <c r="F63" i="48"/>
  <c r="F266" i="48"/>
  <c r="F199" i="48"/>
  <c r="G202" i="48"/>
  <c r="G135" i="48"/>
  <c r="G336" i="48"/>
  <c r="G269" i="48"/>
  <c r="G66" i="48"/>
  <c r="AC41" i="24"/>
  <c r="G214" i="48"/>
  <c r="G147" i="48"/>
  <c r="G348" i="48"/>
  <c r="G281" i="48"/>
  <c r="G78" i="48"/>
  <c r="AD46" i="32"/>
  <c r="G220" i="48"/>
  <c r="G153" i="48"/>
  <c r="G354" i="48"/>
  <c r="G287" i="48"/>
  <c r="G84" i="48"/>
  <c r="AC41" i="28"/>
  <c r="D23" i="7"/>
  <c r="G231" i="48"/>
  <c r="G164" i="48"/>
  <c r="G298" i="48"/>
  <c r="G28" i="48"/>
  <c r="G97" i="48"/>
  <c r="G303" i="48"/>
  <c r="G33" i="48"/>
  <c r="G236" i="48"/>
  <c r="G169" i="48"/>
  <c r="G102" i="48"/>
  <c r="O20" i="64"/>
  <c r="AD44" i="16"/>
  <c r="I12" i="38"/>
  <c r="I12" i="37"/>
  <c r="H16" i="34"/>
  <c r="H11" i="45"/>
  <c r="I11" i="50"/>
  <c r="I28" i="40"/>
  <c r="I9" i="39"/>
  <c r="M12" i="35"/>
  <c r="I27" i="33"/>
  <c r="F227" i="48"/>
  <c r="F160" i="48"/>
  <c r="F294" i="48"/>
  <c r="F93" i="48"/>
  <c r="F24" i="48"/>
  <c r="G296" i="48"/>
  <c r="G26" i="48"/>
  <c r="G229" i="48"/>
  <c r="G162" i="48"/>
  <c r="G95" i="48"/>
  <c r="G166" i="48"/>
  <c r="G99" i="48"/>
  <c r="G300" i="48"/>
  <c r="G233" i="48"/>
  <c r="G30" i="48"/>
  <c r="F102" i="48"/>
  <c r="F303" i="48"/>
  <c r="F33" i="48"/>
  <c r="F236" i="48"/>
  <c r="F169" i="48"/>
  <c r="O22" i="64"/>
  <c r="AD46" i="16"/>
  <c r="L22" i="64"/>
  <c r="F23" i="64" s="1"/>
  <c r="S46" i="16"/>
  <c r="G309" i="48"/>
  <c r="G39" i="48"/>
  <c r="G242" i="48"/>
  <c r="G175" i="48"/>
  <c r="G108" i="48"/>
  <c r="AG49" i="19"/>
  <c r="F245" i="48"/>
  <c r="F178" i="48"/>
  <c r="F111" i="48"/>
  <c r="F312" i="48"/>
  <c r="F42" i="48"/>
  <c r="G315" i="48"/>
  <c r="G45" i="48"/>
  <c r="G248" i="48"/>
  <c r="G181" i="48"/>
  <c r="G114" i="48"/>
  <c r="AD43" i="18"/>
  <c r="S43" i="16"/>
  <c r="U8" i="19"/>
  <c r="L9" i="19"/>
  <c r="U9" i="19" s="1"/>
  <c r="J6" i="22"/>
  <c r="AC41" i="23"/>
  <c r="J6" i="28"/>
  <c r="S5" i="28"/>
  <c r="S6" i="30"/>
  <c r="K7" i="30"/>
  <c r="S7" i="30" s="1"/>
  <c r="S6" i="27"/>
  <c r="K7" i="27"/>
  <c r="S7" i="27" s="1"/>
  <c r="J6" i="31"/>
  <c r="S5" i="31"/>
  <c r="I36" i="43"/>
  <c r="H36" i="43" s="1"/>
  <c r="I58" i="43"/>
  <c r="H58" i="43" s="1"/>
  <c r="I6" i="25"/>
  <c r="H49" i="43"/>
  <c r="I48" i="43"/>
  <c r="H48" i="43" s="1"/>
  <c r="K69" i="33"/>
  <c r="I31" i="33" s="1"/>
  <c r="I136" i="33" s="1"/>
  <c r="H38" i="43"/>
  <c r="U148" i="63"/>
  <c r="AA16" i="63"/>
  <c r="AA15" i="63"/>
  <c r="J49" i="51"/>
  <c r="J50" i="51"/>
  <c r="J51" i="51"/>
  <c r="J52" i="51"/>
  <c r="J45" i="51" s="1"/>
  <c r="E5" i="2" s="1"/>
  <c r="F10" i="55"/>
  <c r="E6" i="62"/>
  <c r="E29" i="62"/>
  <c r="E31" i="62"/>
  <c r="U14" i="63"/>
  <c r="J46" i="51"/>
  <c r="J47" i="51"/>
  <c r="F2" i="54"/>
  <c r="F2" i="55"/>
  <c r="E3" i="62"/>
  <c r="E5" i="62"/>
  <c r="AA13" i="63"/>
  <c r="M294" i="48"/>
  <c r="G46" i="51"/>
  <c r="G47" i="51"/>
  <c r="G48" i="51"/>
  <c r="H49" i="51"/>
  <c r="H50" i="51"/>
  <c r="H53" i="51"/>
  <c r="D5" i="52"/>
  <c r="E5" i="54"/>
  <c r="E5" i="55"/>
  <c r="E30" i="62"/>
  <c r="E32" i="62"/>
  <c r="AA12" i="63"/>
  <c r="M93" i="48"/>
  <c r="H46" i="51"/>
  <c r="H47" i="51"/>
  <c r="E24" i="52"/>
  <c r="AA11" i="63"/>
  <c r="U15" i="63"/>
  <c r="K67" i="19" l="1"/>
  <c r="U66" i="19"/>
  <c r="S45" i="27"/>
  <c r="K46" i="27"/>
  <c r="S46" i="27" s="1"/>
  <c r="K7" i="31"/>
  <c r="S7" i="31" s="1"/>
  <c r="S6" i="31"/>
  <c r="K7" i="22"/>
  <c r="S7" i="22" s="1"/>
  <c r="S6" i="22"/>
  <c r="L62" i="19"/>
  <c r="U62" i="19" s="1"/>
  <c r="U61" i="19"/>
  <c r="K55" i="19"/>
  <c r="U54" i="19"/>
  <c r="K47" i="31"/>
  <c r="S47" i="31" s="1"/>
  <c r="S46" i="31"/>
  <c r="K49" i="17"/>
  <c r="S49" i="17" s="1"/>
  <c r="S48" i="17"/>
  <c r="K57" i="11"/>
  <c r="S57" i="11" s="1"/>
  <c r="S56" i="11"/>
  <c r="S48" i="12"/>
  <c r="K49" i="12"/>
  <c r="S49" i="12" s="1"/>
  <c r="S70" i="11"/>
  <c r="K71" i="11"/>
  <c r="S71" i="11" s="1"/>
  <c r="S7" i="13"/>
  <c r="K8" i="13"/>
  <c r="S8" i="13" s="1"/>
  <c r="D4" i="4"/>
  <c r="B5" i="1"/>
  <c r="J48" i="16"/>
  <c r="I47" i="16"/>
  <c r="K7" i="24"/>
  <c r="S7" i="24" s="1"/>
  <c r="S6" i="24"/>
  <c r="S45" i="23"/>
  <c r="K46" i="23"/>
  <c r="S46" i="23" s="1"/>
  <c r="K49" i="14"/>
  <c r="S49" i="14" s="1"/>
  <c r="S48" i="14"/>
  <c r="K49" i="11"/>
  <c r="S49" i="11" s="1"/>
  <c r="S48" i="11"/>
  <c r="K49" i="15"/>
  <c r="S49" i="15" s="1"/>
  <c r="S48" i="15"/>
  <c r="K49" i="18"/>
  <c r="S49" i="18" s="1"/>
  <c r="S48" i="18"/>
  <c r="D40" i="7"/>
  <c r="D41" i="7"/>
  <c r="D43" i="7"/>
  <c r="D44" i="7" s="1"/>
  <c r="D45" i="7" s="1"/>
  <c r="S98" i="11"/>
  <c r="K99" i="11"/>
  <c r="S99" i="11" s="1"/>
  <c r="H31" i="33"/>
  <c r="H136" i="33" s="1"/>
  <c r="K7" i="28"/>
  <c r="S7" i="28" s="1"/>
  <c r="S6" i="28"/>
  <c r="L23" i="64"/>
  <c r="G24" i="64"/>
  <c r="S6" i="23"/>
  <c r="K7" i="23"/>
  <c r="S7" i="23" s="1"/>
  <c r="S45" i="28"/>
  <c r="K46" i="28"/>
  <c r="S46" i="28" s="1"/>
  <c r="K47" i="30"/>
  <c r="S47" i="30" s="1"/>
  <c r="S46" i="30"/>
  <c r="S45" i="24"/>
  <c r="K46" i="24"/>
  <c r="S46" i="24" s="1"/>
  <c r="K46" i="22"/>
  <c r="S46" i="22" s="1"/>
  <c r="S45" i="22"/>
  <c r="K7" i="21"/>
  <c r="S7" i="21" s="1"/>
  <c r="S6" i="21"/>
  <c r="J48" i="13"/>
  <c r="S47" i="13"/>
  <c r="S84" i="11"/>
  <c r="K85" i="11"/>
  <c r="S85" i="11" s="1"/>
  <c r="K53" i="11"/>
  <c r="S53" i="11" s="1"/>
  <c r="S52" i="11"/>
  <c r="K8" i="11"/>
  <c r="S8" i="11" s="1"/>
  <c r="S7" i="11"/>
  <c r="S45" i="21"/>
  <c r="K46" i="21"/>
  <c r="S46" i="21" s="1"/>
  <c r="K49" i="13" l="1"/>
  <c r="S49" i="13" s="1"/>
  <c r="S48" i="13"/>
  <c r="D48" i="7"/>
  <c r="D47" i="7"/>
  <c r="D49" i="7"/>
  <c r="D51" i="7"/>
  <c r="D46" i="7"/>
  <c r="K49" i="16"/>
  <c r="S49" i="16" s="1"/>
  <c r="S48" i="16"/>
  <c r="U55" i="19"/>
  <c r="L56" i="19"/>
  <c r="U56" i="19" s="1"/>
  <c r="L24" i="64"/>
  <c r="H25" i="64"/>
  <c r="L25" i="64" s="1"/>
  <c r="L68" i="19"/>
  <c r="U68" i="19" s="1"/>
  <c r="U67" i="19"/>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<sst xmlns="http://schemas.openxmlformats.org/spreadsheetml/2006/main" count="14336" uniqueCount="3462">
  <si>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</si>
  <si>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</si>
  <si>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</si>
  <si>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</si>
  <si>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</si>
  <si>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</si>
  <si>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</si>
  <si>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</si>
  <si>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</si>
  <si>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</si>
  <si>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</si>
  <si>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</si>
  <si>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</si>
  <si>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26539356</t>
  </si>
  <si>
    <t>Flag_Row_Size</t>
  </si>
  <si>
    <t>Субъект РФ</t>
  </si>
  <si>
    <t>г.Санкт-Петербург</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</si>
  <si>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</si>
  <si>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</si>
  <si>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</si>
  <si>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</si>
  <si>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</si>
  <si>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</si>
  <si>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</si>
  <si>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</si>
  <si>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</si>
  <si>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</si>
  <si>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</si>
  <si>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</si>
  <si>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</si>
  <si>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</si>
  <si>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</si>
  <si>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</si>
  <si>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</si>
  <si>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</si>
  <si>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</si>
  <si>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</si>
  <si>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</si>
  <si>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</si>
  <si>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</si>
  <si>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</si>
  <si>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262-р</t>
  </si>
  <si>
    <t>Наименование органа регулирования, принявшего решение об утверждении тарифов</t>
  </si>
  <si>
    <t>Комитет по тарифам Санкт-Петербурга</t>
  </si>
  <si>
    <t>Источник официального опубликования решения</t>
  </si>
  <si>
    <t>https://www.gov.spb.ru/static/writable/documents/2023/12/22/%D0%BE%D1%82_20.12.2023__262-%D1%80.pdf</t>
  </si>
  <si>
    <t>Открывается, если Тип отчёта "изменения в раскрытой ранее информации"</t>
  </si>
  <si>
    <t>94-р</t>
  </si>
  <si>
    <t>Наименование органа регулирования, принявшего решение об изменении тарифов</t>
  </si>
  <si>
    <t>http://publication.pravo.gov.ru/document/7801202407010029</t>
  </si>
  <si>
    <t>ПАО "ТГК-1" филиал "Невский"</t>
  </si>
  <si>
    <t>Наименование (описание) обособленного подразделения</t>
  </si>
  <si>
    <t>ИНН</t>
  </si>
  <si>
    <t>7841312071</t>
  </si>
  <si>
    <t>КПП</t>
  </si>
  <si>
    <t>781301001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</si>
  <si>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</si>
  <si>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</si>
  <si>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</si>
  <si>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</si>
  <si>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</si>
  <si>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</si>
  <si>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</si>
  <si>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</si>
  <si>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</si>
  <si>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</si>
  <si>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</si>
  <si>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</si>
  <si>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</si>
  <si>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</si>
  <si>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</si>
  <si>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</si>
  <si>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</si>
  <si>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</si>
  <si>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197198, Санкт-Петербург, пр. Добролюбова, д.16, корп. 2, литера А</t>
  </si>
  <si>
    <t>Фамилия, имя, отчество руководителя</t>
  </si>
  <si>
    <t>Ответственный за заполнение формы</t>
  </si>
  <si>
    <t>Фамилия, имя, отчество</t>
  </si>
  <si>
    <t>Должность</t>
  </si>
  <si>
    <t>Начальник отдела</t>
  </si>
  <si>
    <t>Контактный телефон</t>
  </si>
  <si>
    <t>(812) 688-33-04</t>
  </si>
  <si>
    <t>E-mail</t>
  </si>
  <si>
    <t>Voropaeva.UA@tgc1.ru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</si>
  <si>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</si>
  <si>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</si>
  <si>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</si>
  <si>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</si>
  <si>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</si>
  <si>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</si>
  <si>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</si>
  <si>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</si>
  <si>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</si>
  <si>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</si>
  <si>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</si>
  <si>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</si>
  <si>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</si>
  <si>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</si>
  <si>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</si>
  <si>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</si>
  <si>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</si>
  <si>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t>
  </si>
  <si>
    <t>город Санкт-Петербург</t>
  </si>
  <si>
    <t>40000000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</si>
  <si>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</si>
  <si>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</si>
  <si>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</si>
  <si>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</si>
  <si>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</si>
  <si>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</si>
  <si>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</si>
  <si>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</si>
  <si>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</si>
  <si>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</si>
  <si>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</si>
  <si>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</si>
  <si>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</si>
  <si>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</si>
  <si>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</si>
  <si>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</si>
  <si>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</si>
  <si>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</si>
  <si>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</si>
  <si>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</si>
  <si>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</si>
  <si>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</si>
  <si>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</si>
  <si>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</si>
  <si>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</si>
  <si>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</si>
  <si>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</si>
  <si>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</si>
  <si>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</si>
  <si>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</si>
  <si>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</si>
  <si>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</si>
  <si>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</si>
  <si>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</si>
  <si>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</si>
  <si>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</si>
  <si>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</si>
  <si>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</si>
  <si>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</si>
  <si>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</si>
  <si>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</si>
  <si>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</si>
  <si>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</si>
  <si>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</si>
  <si>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</si>
  <si>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</si>
  <si>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</si>
  <si>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</si>
  <si>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</si>
  <si>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</si>
  <si>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</si>
  <si>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</si>
  <si>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 на тепловую энергию, поставляемую ПАО "ТГК-1" потребителям, расположенным на территории Санкт-Петербурга</t>
  </si>
  <si>
    <t>"4190066"; "4190070"</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</si>
  <si>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</si>
  <si>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</si>
  <si>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</si>
  <si>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</si>
  <si>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</si>
  <si>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</si>
  <si>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</si>
  <si>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</si>
  <si>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t>
  </si>
  <si>
    <t>Тариф на тепловую энергию, поставляемую ПАО "ТГК-1" на коллекторах источников тепловой энергии потребителям, расположенным на территории Санкт-Петербурга</t>
  </si>
  <si>
    <t>pt_ntar_30</t>
  </si>
  <si>
    <t>pt_ter_30</t>
  </si>
  <si>
    <t>pt_cs_30</t>
  </si>
  <si>
    <t>pt_ist_te_30</t>
  </si>
  <si>
    <t>Тариф на тепловую энергию (мощность), поставляемую ПАО "ТГК-1" теплоснабжающим, теплосетевым организациям, приобретающим тепловую энергию с целью компенсации потерь тепловой энергии</t>
  </si>
  <si>
    <t>pt_ntar_301</t>
  </si>
  <si>
    <t>pt_ter_31</t>
  </si>
  <si>
    <t>pt_cs_31</t>
  </si>
  <si>
    <t>pt_ist_te_31</t>
  </si>
  <si>
    <t>Льготные тарифы на тепловую энергию, поставляемую ПАО "ТГК-1" потребителям, расположенным на территории Санкт-Петербурга</t>
  </si>
  <si>
    <t>pt_ntar_3011</t>
  </si>
  <si>
    <t>pt_ter_32</t>
  </si>
  <si>
    <t>pt_cs_32</t>
  </si>
  <si>
    <t>pt_ist_te_32</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</si>
  <si>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</si>
  <si>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</si>
  <si>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</si>
  <si>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</si>
  <si>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</si>
  <si>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</si>
  <si>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</si>
  <si>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</si>
  <si>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ПАО "ТГК-1" потребителям, расположенным на территории Санкт-Петербурга</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</si>
  <si>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</si>
  <si>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</si>
  <si>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</si>
  <si>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</si>
  <si>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</si>
  <si>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</si>
  <si>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</si>
  <si>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 на горячую воду (горячее водоснабжение), поставляемую ПАО "ТГК-1" в открытых системах теплоснабжения потребителям, расположенным на территории Санкт-Петербурга</t>
  </si>
  <si>
    <t>"4190067"; "4190071"</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</si>
  <si>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</si>
  <si>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</si>
  <si>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</si>
  <si>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</si>
  <si>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</si>
  <si>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</si>
  <si>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</si>
  <si>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</si>
  <si>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</si>
  <si>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</si>
  <si>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</si>
  <si>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</si>
  <si>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</si>
  <si>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</si>
  <si>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</si>
  <si>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</si>
  <si>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</si>
  <si>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</si>
  <si>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</si>
  <si>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"4190073"</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</si>
  <si>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</si>
  <si>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</si>
  <si>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</si>
  <si>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</si>
  <si>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</si>
  <si>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</si>
  <si>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</si>
  <si>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</si>
  <si>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</si>
  <si>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</si>
  <si>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</si>
  <si>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</si>
  <si>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</si>
  <si>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</si>
  <si>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</si>
  <si>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</si>
  <si>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</si>
  <si>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</si>
  <si>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</si>
  <si>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</si>
  <si>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</si>
  <si>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</si>
  <si>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</si>
  <si>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</si>
  <si>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</si>
  <si>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</si>
  <si>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</si>
  <si>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</si>
  <si>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</si>
  <si>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</si>
  <si>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</si>
  <si>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</si>
  <si>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</si>
  <si>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</si>
  <si>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</si>
  <si>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</si>
  <si>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</si>
  <si>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</si>
  <si>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</si>
  <si>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</si>
  <si>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</si>
  <si>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</si>
  <si>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</si>
  <si>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</si>
  <si>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</si>
  <si>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</si>
  <si>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</si>
  <si>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</si>
  <si>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</si>
  <si>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</si>
  <si>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</si>
  <si>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</si>
  <si>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</si>
  <si>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</si>
  <si>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</si>
  <si>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</si>
  <si>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</si>
  <si>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</si>
  <si>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</si>
  <si>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</si>
  <si>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</si>
  <si>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</si>
  <si>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</si>
  <si>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</si>
  <si>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</si>
  <si>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</si>
  <si>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</si>
  <si>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</si>
  <si>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</si>
  <si>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</si>
  <si>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</si>
  <si>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</si>
  <si>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</si>
  <si>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</si>
  <si>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</si>
  <si>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</si>
  <si>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</si>
  <si>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</si>
  <si>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</si>
  <si>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</si>
  <si>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</si>
  <si>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</si>
  <si>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</si>
  <si>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</si>
  <si>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</si>
  <si>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</si>
  <si>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</si>
  <si>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</si>
  <si>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</si>
  <si>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</si>
  <si>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</si>
  <si>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</si>
  <si>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</si>
  <si>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</si>
  <si>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</si>
  <si>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</si>
  <si>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</si>
  <si>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</si>
  <si>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</si>
  <si>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</si>
  <si>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</si>
  <si>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</si>
  <si>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</si>
  <si>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</si>
  <si>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</si>
  <si>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</si>
  <si>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</si>
  <si>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</si>
  <si>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</si>
  <si>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</si>
  <si>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</si>
  <si>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</si>
  <si>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</si>
  <si>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</si>
  <si>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</si>
  <si>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</si>
  <si>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</si>
  <si>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</si>
  <si>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</si>
  <si>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</si>
  <si>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</si>
  <si>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</si>
  <si>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</si>
  <si>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</si>
  <si>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</si>
  <si>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</si>
  <si>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</si>
  <si>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</si>
  <si>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</si>
  <si>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</si>
  <si>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</si>
  <si>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</si>
  <si>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</si>
  <si>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</si>
  <si>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</si>
  <si>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</si>
  <si>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</si>
  <si>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</si>
  <si>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</si>
  <si>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</si>
  <si>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</si>
  <si>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</si>
  <si>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</si>
  <si>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</si>
  <si>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</si>
  <si>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</si>
  <si>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</si>
  <si>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</si>
  <si>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</si>
  <si>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</si>
  <si>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</si>
  <si>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</si>
  <si>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</si>
  <si>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</si>
  <si>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</si>
  <si>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</si>
  <si>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</si>
  <si>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</si>
  <si>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</si>
  <si>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</si>
  <si>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</si>
  <si>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</si>
  <si>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</si>
  <si>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</si>
  <si>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</si>
  <si>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</si>
  <si>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</si>
  <si>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</si>
  <si>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</si>
  <si>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</si>
  <si>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</si>
  <si>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</si>
  <si>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</si>
  <si>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</si>
  <si>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</si>
  <si>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</si>
  <si>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</si>
  <si>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</si>
  <si>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</si>
  <si>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</si>
  <si>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</si>
  <si>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</si>
  <si>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</si>
  <si>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</si>
  <si>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</si>
  <si>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</si>
  <si>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</si>
  <si>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</si>
  <si>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</si>
  <si>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</si>
  <si>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</si>
  <si>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</si>
  <si>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</si>
  <si>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</si>
  <si>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</si>
  <si>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</si>
  <si>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</si>
  <si>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</si>
  <si>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</si>
  <si>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</si>
  <si>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</si>
  <si>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</si>
  <si>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</si>
  <si>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</si>
  <si>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</si>
  <si>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</si>
  <si>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</si>
  <si>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</si>
  <si>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</si>
  <si>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</si>
  <si>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</si>
  <si>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</si>
  <si>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</si>
  <si>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</si>
  <si>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</si>
  <si>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</si>
  <si>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</si>
  <si>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</si>
  <si>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</si>
  <si>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</si>
  <si>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</si>
  <si>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</si>
  <si>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</si>
  <si>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</si>
  <si>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</si>
  <si>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</si>
  <si>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</si>
  <si>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</si>
  <si>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</si>
  <si>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</si>
  <si>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</si>
  <si>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</si>
  <si>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</si>
  <si>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</si>
  <si>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</si>
  <si>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</si>
  <si>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</si>
  <si>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</si>
  <si>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</si>
  <si>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</si>
  <si>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</si>
  <si>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</si>
  <si>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</si>
  <si>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</si>
  <si>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</si>
  <si>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</si>
  <si>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</si>
  <si>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</si>
  <si>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</si>
  <si>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</si>
  <si>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</si>
  <si>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</si>
  <si>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без дифференциации</t>
  </si>
  <si>
    <t>вода</t>
  </si>
  <si>
    <t>организации-перепродавцы</t>
  </si>
  <si>
    <t>население</t>
  </si>
  <si>
    <t>к коллектору источника тепловой энергии</t>
  </si>
  <si>
    <t>Период действия</t>
  </si>
  <si>
    <t>Одноставочный тариф,_x000D_
руб./куб.м</t>
  </si>
  <si>
    <t>прочие</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</si>
  <si>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</si>
  <si>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</si>
  <si>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</si>
  <si>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</si>
  <si>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</si>
  <si>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</si>
  <si>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</si>
  <si>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</si>
  <si>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</si>
  <si>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</si>
  <si>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</si>
  <si>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</si>
  <si>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</si>
  <si>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горячая вода в системе централизованного теплоснабжения на горячее водоснабжение</t>
  </si>
  <si>
    <t>прочие потребители, получающие тепловую энергию по тепловым сетям</t>
  </si>
  <si>
    <t>прочие потребители, получающие тепловую энергию с коллекторов</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</si>
  <si>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</si>
  <si>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</si>
  <si>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</si>
  <si>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</si>
  <si>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</si>
  <si>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</si>
  <si>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</si>
  <si>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</si>
  <si>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</si>
  <si>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</si>
  <si>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</si>
  <si>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</si>
  <si>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</si>
  <si>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</si>
  <si>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</si>
  <si>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</si>
  <si>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</si>
  <si>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</si>
  <si>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</si>
  <si>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</si>
  <si>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</si>
  <si>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</si>
  <si>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</si>
  <si>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</si>
  <si>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</si>
  <si>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</si>
  <si>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</si>
  <si>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</si>
  <si>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</si>
  <si>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</si>
  <si>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</si>
  <si>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</si>
  <si>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</si>
  <si>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</si>
  <si>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</si>
  <si>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</si>
  <si>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</si>
  <si>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</si>
  <si>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</si>
  <si>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</si>
  <si>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</si>
  <si>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</si>
  <si>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</si>
  <si>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</si>
  <si>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</si>
  <si>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</si>
  <si>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</si>
  <si>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</si>
  <si>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</si>
  <si>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</si>
  <si>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</si>
  <si>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</si>
  <si>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</si>
  <si>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</si>
  <si>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</si>
  <si>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</si>
  <si>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</si>
  <si>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</si>
  <si>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</si>
  <si>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</si>
  <si>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</si>
  <si>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</si>
  <si>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</si>
  <si>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</si>
  <si>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</si>
  <si>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</si>
  <si>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</si>
  <si>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</si>
  <si>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</si>
  <si>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</si>
  <si>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</si>
  <si>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</si>
  <si>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</si>
  <si>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</si>
  <si>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</si>
  <si>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</si>
  <si>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</si>
  <si>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</si>
  <si>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</si>
  <si>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</si>
  <si>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</si>
  <si>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</si>
  <si>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</si>
  <si>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</si>
  <si>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</si>
  <si>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</si>
  <si>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</si>
  <si>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</si>
  <si>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</si>
  <si>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</si>
  <si>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</si>
  <si>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</si>
  <si>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</si>
  <si>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</si>
  <si>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</si>
  <si>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</si>
  <si>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</si>
  <si>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</si>
  <si>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</si>
  <si>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</si>
  <si>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</si>
  <si>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</si>
  <si>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</si>
  <si>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</si>
  <si>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</si>
  <si>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</si>
  <si>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</si>
  <si>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</si>
  <si>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</si>
  <si>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</si>
  <si>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</si>
  <si>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</si>
  <si>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</si>
  <si>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</si>
  <si>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</si>
  <si>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</si>
  <si>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</si>
  <si>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</si>
  <si>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</si>
  <si>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</si>
  <si>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</si>
  <si>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</si>
  <si>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</si>
  <si>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</si>
  <si>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</si>
  <si>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</si>
  <si>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</si>
  <si>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</si>
  <si>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</si>
  <si>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</si>
  <si>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</si>
  <si>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</si>
  <si>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</si>
  <si>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</si>
  <si>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</si>
  <si>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</si>
  <si>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</si>
  <si>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</si>
  <si>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</si>
  <si>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</si>
  <si>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</si>
  <si>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</si>
  <si>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</si>
  <si>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</si>
  <si>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</si>
  <si>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</si>
  <si>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</si>
  <si>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</si>
  <si>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</si>
  <si>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</si>
  <si>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</si>
  <si>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</si>
  <si>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</si>
  <si>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</si>
  <si>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</si>
  <si>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</si>
  <si>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</si>
  <si>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</si>
  <si>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</si>
  <si>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</si>
  <si>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</si>
  <si>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</si>
  <si>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</si>
  <si>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</si>
  <si>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</si>
  <si>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</si>
  <si>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</si>
  <si>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</si>
  <si>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</si>
  <si>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</si>
  <si>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</si>
  <si>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</si>
  <si>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</si>
  <si>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</si>
  <si>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</si>
  <si>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</si>
  <si>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</si>
  <si>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</si>
  <si>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</si>
  <si>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</si>
  <si>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</si>
  <si>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</si>
  <si>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</si>
  <si>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</si>
  <si>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</si>
  <si>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</si>
  <si>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</si>
  <si>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</si>
  <si>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</si>
  <si>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</si>
  <si>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</si>
  <si>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</si>
  <si>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</si>
  <si>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</si>
  <si>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</si>
  <si>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</si>
  <si>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</si>
  <si>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</si>
  <si>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</si>
  <si>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</si>
  <si>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</si>
  <si>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</si>
  <si>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</si>
  <si>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</si>
  <si>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</si>
  <si>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</si>
  <si>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</si>
  <si>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</si>
  <si>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</si>
  <si>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</si>
  <si>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</si>
  <si>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</si>
  <si>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</si>
  <si>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</si>
  <si>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</si>
  <si>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</si>
  <si>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</si>
  <si>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</si>
  <si>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</si>
  <si>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</si>
  <si>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</si>
  <si>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</si>
  <si>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</si>
  <si>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</si>
  <si>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</si>
  <si>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</si>
  <si>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</si>
  <si>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</si>
  <si>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</si>
  <si>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</si>
  <si>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</si>
  <si>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</si>
  <si>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</si>
  <si>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</si>
  <si>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</si>
  <si>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</si>
  <si>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</si>
  <si>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</si>
  <si>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</si>
  <si>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</si>
  <si>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</si>
  <si>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</si>
  <si>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</si>
  <si>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</si>
  <si>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</si>
  <si>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</si>
  <si>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</si>
  <si>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</si>
  <si>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</si>
  <si>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</si>
  <si>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</si>
  <si>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</si>
  <si>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</si>
  <si>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</si>
  <si>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</si>
  <si>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</si>
  <si>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</si>
  <si>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</si>
  <si>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</si>
  <si>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</si>
  <si>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</si>
  <si>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</si>
  <si>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</si>
  <si>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</si>
  <si>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</si>
  <si>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</si>
  <si>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</si>
  <si>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</si>
  <si>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</si>
  <si>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</si>
  <si>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</si>
  <si>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</si>
  <si>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</si>
  <si>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</si>
  <si>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</si>
  <si>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</si>
  <si>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</si>
  <si>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</si>
  <si>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</si>
  <si>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</si>
  <si>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</si>
  <si>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</si>
  <si>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</si>
  <si>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</si>
  <si>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</si>
  <si>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</si>
  <si>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</si>
  <si>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</si>
  <si>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</si>
  <si>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</si>
  <si>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</si>
  <si>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</si>
  <si>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</si>
  <si>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</si>
  <si>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</si>
  <si>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</si>
  <si>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</si>
  <si>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</si>
  <si>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</si>
  <si>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</si>
  <si>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</si>
  <si>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</si>
  <si>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</si>
  <si>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</si>
  <si>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</si>
  <si>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</si>
  <si>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</si>
  <si>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</si>
  <si>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</si>
  <si>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</si>
  <si>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</si>
  <si>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</si>
  <si>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</si>
  <si>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</si>
  <si>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</si>
  <si>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</si>
  <si>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</si>
  <si>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</si>
  <si>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</si>
  <si>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</si>
  <si>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</si>
  <si>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</si>
  <si>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</si>
  <si>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</si>
  <si>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</si>
  <si>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</si>
  <si>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</si>
  <si>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</si>
  <si>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</si>
  <si>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</si>
  <si>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</si>
  <si>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</si>
  <si>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</si>
  <si>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</si>
  <si>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</si>
  <si>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</si>
  <si>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</si>
  <si>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</si>
  <si>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</si>
  <si>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</si>
  <si>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</si>
  <si>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</si>
  <si>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</si>
  <si>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</si>
  <si>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</si>
  <si>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</si>
  <si>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</si>
  <si>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</si>
  <si>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</si>
  <si>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</si>
  <si>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</si>
  <si>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</si>
  <si>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</si>
  <si>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</si>
  <si>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</si>
  <si>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</si>
  <si>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</si>
  <si>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</si>
  <si>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</si>
  <si>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</si>
  <si>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</si>
  <si>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</si>
  <si>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</si>
  <si>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</si>
  <si>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</si>
  <si>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</si>
  <si>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</si>
  <si>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</si>
  <si>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</si>
  <si>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</si>
  <si>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</si>
  <si>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</si>
  <si>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</si>
  <si>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</si>
  <si>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</si>
  <si>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</si>
  <si>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</si>
  <si>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</si>
  <si>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</si>
  <si>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</si>
  <si>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</si>
  <si>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</si>
  <si>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</si>
  <si>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</si>
  <si>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</si>
  <si>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</si>
  <si>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</si>
  <si>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</si>
  <si>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</si>
  <si>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</si>
  <si>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</si>
  <si>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</si>
  <si>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</si>
  <si>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</si>
  <si>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</si>
  <si>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</si>
  <si>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</si>
  <si>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</si>
  <si>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</si>
  <si>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</si>
  <si>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</si>
  <si>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</si>
  <si>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</si>
  <si>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</si>
  <si>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</si>
  <si>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</si>
  <si>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</si>
  <si>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</si>
  <si>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</si>
  <si>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</si>
  <si>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</si>
  <si>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</si>
  <si>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</si>
  <si>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</si>
  <si>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</si>
  <si>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</si>
  <si>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</si>
  <si>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</si>
  <si>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</si>
  <si>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</si>
  <si>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</si>
  <si>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</si>
  <si>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</si>
  <si>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</si>
  <si>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</si>
  <si>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</si>
  <si>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</si>
  <si>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</si>
  <si>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</si>
  <si>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</si>
  <si>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</si>
  <si>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</si>
  <si>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</si>
  <si>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</si>
  <si>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</si>
  <si>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</si>
  <si>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</si>
  <si>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</si>
  <si>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</si>
  <si>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</si>
  <si>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</si>
  <si>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</si>
  <si>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</si>
  <si>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</si>
  <si>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</si>
  <si>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</si>
  <si>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</si>
  <si>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</si>
  <si>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</si>
  <si>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</si>
  <si>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</si>
  <si>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</si>
  <si>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</si>
  <si>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</si>
  <si>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</si>
  <si>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</si>
  <si>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</si>
  <si>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</si>
  <si>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</si>
  <si>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</si>
  <si>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</si>
  <si>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</si>
  <si>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</si>
  <si>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</si>
  <si>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</si>
  <si>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</si>
  <si>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</si>
  <si>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</si>
  <si>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</si>
  <si>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</si>
  <si>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</si>
  <si>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</si>
  <si>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</si>
  <si>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</si>
  <si>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</si>
  <si>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</si>
  <si>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</si>
  <si>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</si>
  <si>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</si>
  <si>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</si>
  <si>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</si>
  <si>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</si>
  <si>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</si>
  <si>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</si>
  <si>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</si>
  <si>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</si>
  <si>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</si>
  <si>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</si>
  <si>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</si>
  <si>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</si>
  <si>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</si>
  <si>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</si>
  <si>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</si>
  <si>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</si>
  <si>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</si>
  <si>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</si>
  <si>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</si>
  <si>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</si>
  <si>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</si>
  <si>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</si>
  <si>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</si>
  <si>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</si>
  <si>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</si>
  <si>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</si>
  <si>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</si>
  <si>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</si>
  <si>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</si>
  <si>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</si>
  <si>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</si>
  <si>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</si>
  <si>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</si>
  <si>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</si>
  <si>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</si>
  <si>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</si>
  <si>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</si>
  <si>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</si>
  <si>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</si>
  <si>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</si>
  <si>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</si>
  <si>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</si>
  <si>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</si>
  <si>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</si>
  <si>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</si>
  <si>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</si>
  <si>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</si>
  <si>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</si>
  <si>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</si>
  <si>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</si>
  <si>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</si>
  <si>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</si>
  <si>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</si>
  <si>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</si>
  <si>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</si>
  <si>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</si>
  <si>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</si>
  <si>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</si>
  <si>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</si>
  <si>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</si>
  <si>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</si>
  <si>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</si>
  <si>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</si>
  <si>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</si>
  <si>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</si>
  <si>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</si>
  <si>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</si>
  <si>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</si>
  <si>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</si>
  <si>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</si>
  <si>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</si>
  <si>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</si>
  <si>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</si>
  <si>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</si>
  <si>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</si>
  <si>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</si>
  <si>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</si>
  <si>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</si>
  <si>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</si>
  <si>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</si>
  <si>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</si>
  <si>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</si>
  <si>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</si>
  <si>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</si>
  <si>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</si>
  <si>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</si>
  <si>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</si>
  <si>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</si>
  <si>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</si>
  <si>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</si>
  <si>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</si>
  <si>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</si>
  <si>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</si>
  <si>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</si>
  <si>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</si>
  <si>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</si>
  <si>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</si>
  <si>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</si>
  <si>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</si>
  <si>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</si>
  <si>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</si>
  <si>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</si>
  <si>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</si>
  <si>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</si>
  <si>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</si>
  <si>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</si>
  <si>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</si>
  <si>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</si>
  <si>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</si>
  <si>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</si>
  <si>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</si>
  <si>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</si>
  <si>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</si>
  <si>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</si>
  <si>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</si>
  <si>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</si>
  <si>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</si>
  <si>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</si>
  <si>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</si>
  <si>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</si>
  <si>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</si>
  <si>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</si>
  <si>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</si>
  <si>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</si>
  <si>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</si>
  <si>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</si>
  <si>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</si>
  <si>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</si>
  <si>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</si>
  <si>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</si>
  <si>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</si>
  <si>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</si>
  <si>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</si>
  <si>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</si>
  <si>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</si>
  <si>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</si>
  <si>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</si>
  <si>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</si>
  <si>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</si>
  <si>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</si>
  <si>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</si>
  <si>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</si>
  <si>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</si>
  <si>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</si>
  <si>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</si>
  <si>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</si>
  <si>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</si>
  <si>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</si>
  <si>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</si>
  <si>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</si>
  <si>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</si>
  <si>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</si>
  <si>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</si>
  <si>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</si>
  <si>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</si>
  <si>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</si>
  <si>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</si>
  <si>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</si>
  <si>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</si>
  <si>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</si>
  <si>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</si>
  <si>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</si>
  <si>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</si>
  <si>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</si>
  <si>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</si>
  <si>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</si>
  <si>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</si>
  <si>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</si>
  <si>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</si>
  <si>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</si>
  <si>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</si>
  <si>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</si>
  <si>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</si>
  <si>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</si>
  <si>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</si>
  <si>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</si>
  <si>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</si>
  <si>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</si>
  <si>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</si>
  <si>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</si>
  <si>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</si>
  <si>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</si>
  <si>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</si>
  <si>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</si>
  <si>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</si>
  <si>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</si>
  <si>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</si>
  <si>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</si>
  <si>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</si>
  <si>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</si>
  <si>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</si>
  <si>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</si>
  <si>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</si>
  <si>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http://www.tgc1.ru/clients/spb/enterprises/connect/</t>
  </si>
  <si>
    <t>https://portal.eias.ru/Portal/DownloadPage.aspx?type=12&amp;guid=0281516b-f62e-4360-8f84-a221164a24e0</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</si>
  <si>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</si>
  <si>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https://portal.eias.ru/Portal/DownloadPage.aspx?type=12&amp;guid=0d03c77e-d1b9-40f4-bc05-e71b03037a3f</t>
  </si>
  <si>
    <t>Перечень указан в пп. 25-26 Правил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(утв. Постановления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</si>
  <si>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https://portal.eias.ru/Portal/DownloadPage.aspx?type=12&amp;guid=08d9c885-587f-4b8a-8dc2-93d0608eec16</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</si>
  <si>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</si>
  <si>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(утв. Постановления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</si>
  <si>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</si>
  <si>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</si>
  <si>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(812) 688-34-72</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</si>
  <si>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</si>
  <si>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</si>
  <si>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Санкт-Петербург, пр. Добролюбова, д. 16, корп. 2, лит. А</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</si>
  <si>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</si>
  <si>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пн.-чт.:: с 08:30 до 17:20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</si>
  <si>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</si>
  <si>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пт.:: с 08:30 до 16:20</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</si>
  <si>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</si>
  <si>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</si>
  <si>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</si>
  <si>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</si>
  <si>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</si>
  <si>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</si>
  <si>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</si>
  <si>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</si>
  <si>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</si>
  <si>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</si>
  <si>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</si>
  <si>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</si>
  <si>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</si>
  <si>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</si>
  <si>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</si>
  <si>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</si>
  <si>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</si>
  <si>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</si>
  <si>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</si>
  <si>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</si>
  <si>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</si>
  <si>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</si>
  <si>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</si>
  <si>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</si>
  <si>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</si>
  <si>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</si>
  <si>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</si>
  <si>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</si>
  <si>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</si>
  <si>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</si>
  <si>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</si>
  <si>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</si>
  <si>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</si>
  <si>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</si>
  <si>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</si>
  <si>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</si>
  <si>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</si>
  <si>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</si>
  <si>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</si>
  <si>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</si>
  <si>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</si>
  <si>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</si>
  <si>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</si>
  <si>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</si>
  <si>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</si>
  <si>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</si>
  <si>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</si>
  <si>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</si>
  <si>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</si>
  <si>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</si>
  <si>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</si>
  <si>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</si>
  <si>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</si>
  <si>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</si>
  <si>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</si>
  <si>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</si>
  <si>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</si>
  <si>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</si>
  <si>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</si>
  <si>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</si>
  <si>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</si>
  <si>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</si>
  <si>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</si>
  <si>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</si>
  <si>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</si>
  <si>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</si>
  <si>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</si>
  <si>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</si>
  <si>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</si>
  <si>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</si>
  <si>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</si>
  <si>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</si>
  <si>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</si>
  <si>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</si>
  <si>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</si>
  <si>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</si>
  <si>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</si>
  <si>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</si>
  <si>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</si>
  <si>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</si>
  <si>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</si>
  <si>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</si>
  <si>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</si>
  <si>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</si>
  <si>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</si>
  <si>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</si>
  <si>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</si>
  <si>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</si>
  <si>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</si>
  <si>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</si>
  <si>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</si>
  <si>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</si>
  <si>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</si>
  <si>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</si>
  <si>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</si>
  <si>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</si>
  <si>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</si>
  <si>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</si>
  <si>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</si>
  <si>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</si>
  <si>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</si>
  <si>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</si>
  <si>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</si>
  <si>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</si>
  <si>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</si>
  <si>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</si>
  <si>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</si>
  <si>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</si>
  <si>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</si>
  <si>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</si>
  <si>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</si>
  <si>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</si>
  <si>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</si>
  <si>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</si>
  <si>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</si>
  <si>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</si>
  <si>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</si>
  <si>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</si>
  <si>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</si>
  <si>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</si>
  <si>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</si>
  <si>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</si>
  <si>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</si>
  <si>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</si>
  <si>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</si>
  <si>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</si>
  <si>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</si>
  <si>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</si>
  <si>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</si>
  <si>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</si>
  <si>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</si>
  <si>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</si>
  <si>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</si>
  <si>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</si>
  <si>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</si>
  <si>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</si>
  <si>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</si>
  <si>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</si>
  <si>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</si>
  <si>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</si>
  <si>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</si>
  <si>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</si>
  <si>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</si>
  <si>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</si>
  <si>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</si>
  <si>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</si>
  <si>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</si>
  <si>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</si>
  <si>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</si>
  <si>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</si>
  <si>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</si>
  <si>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</si>
  <si>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</si>
  <si>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</si>
  <si>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</si>
  <si>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</si>
  <si>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</si>
  <si>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</si>
  <si>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</si>
  <si>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</si>
  <si>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</si>
  <si>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</si>
  <si>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</si>
  <si>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</si>
  <si>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</si>
  <si>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</si>
  <si>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</si>
  <si>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</si>
  <si>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</si>
  <si>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</si>
  <si>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</si>
  <si>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</si>
  <si>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</si>
  <si>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</si>
  <si>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</si>
  <si>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</si>
  <si>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</si>
  <si>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</si>
  <si>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</si>
  <si>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</si>
  <si>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</si>
  <si>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</si>
  <si>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</si>
  <si>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</si>
  <si>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</si>
  <si>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</si>
  <si>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</si>
  <si>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</si>
  <si>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</si>
  <si>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</si>
  <si>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</si>
  <si>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</si>
  <si>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</si>
  <si>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</si>
  <si>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</si>
  <si>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</si>
  <si>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</si>
  <si>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</si>
  <si>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</si>
  <si>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</si>
  <si>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</si>
  <si>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</si>
  <si>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</si>
  <si>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</si>
  <si>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</si>
  <si>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</si>
  <si>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</si>
  <si>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</si>
  <si>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</si>
  <si>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</si>
  <si>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</si>
  <si>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</si>
  <si>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</si>
  <si>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</si>
  <si>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</si>
  <si>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</si>
  <si>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</si>
  <si>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</si>
  <si>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</si>
  <si>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</si>
  <si>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</si>
  <si>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</si>
  <si>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</si>
  <si>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</si>
  <si>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</si>
  <si>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</si>
  <si>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</si>
  <si>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</si>
  <si>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</si>
  <si>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</si>
  <si>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</si>
  <si>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</si>
  <si>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</si>
  <si>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</si>
  <si>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</si>
  <si>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</si>
  <si>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</si>
  <si>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</si>
  <si>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</si>
  <si>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</si>
  <si>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</si>
  <si>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</si>
  <si>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</si>
  <si>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</si>
  <si>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</si>
  <si>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</si>
  <si>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</si>
  <si>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</si>
  <si>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</si>
  <si>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</si>
  <si>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</si>
  <si>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</si>
  <si>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</si>
  <si>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</si>
  <si>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</si>
  <si>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</si>
  <si>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</si>
  <si>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</si>
  <si>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</si>
  <si>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</si>
  <si>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</si>
  <si>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</si>
  <si>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</si>
  <si>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</si>
  <si>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</si>
  <si>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</si>
  <si>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</si>
  <si>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</si>
  <si>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</si>
  <si>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</si>
  <si>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</si>
  <si>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</si>
  <si>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</si>
  <si>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</si>
  <si>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</si>
  <si>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</si>
  <si>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</si>
  <si>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</si>
  <si>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</si>
  <si>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</si>
  <si>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</si>
  <si>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</si>
  <si>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</si>
  <si>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</si>
  <si>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</si>
  <si>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</si>
  <si>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</si>
  <si>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</si>
  <si>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</si>
  <si>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</si>
  <si>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</si>
  <si>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</si>
  <si>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</si>
  <si>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</si>
  <si>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</si>
  <si>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</si>
  <si>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</si>
  <si>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</si>
  <si>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</si>
  <si>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</si>
  <si>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</si>
  <si>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</si>
  <si>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</si>
  <si>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</si>
  <si>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</si>
  <si>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</si>
  <si>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</si>
  <si>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</si>
  <si>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</si>
  <si>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</si>
  <si>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</si>
  <si>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</si>
  <si>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</si>
  <si>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</si>
  <si>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</si>
  <si>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</si>
  <si>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</si>
  <si>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</si>
  <si>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</si>
  <si>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</si>
  <si>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</si>
  <si>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</si>
  <si>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</si>
  <si>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</si>
  <si>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</si>
  <si>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</si>
  <si>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</si>
  <si>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</si>
  <si>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</si>
  <si>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</si>
  <si>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</si>
  <si>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</si>
  <si>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</si>
  <si>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</si>
  <si>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</si>
  <si>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</si>
  <si>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</si>
  <si>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</si>
  <si>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</si>
  <si>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</si>
  <si>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</si>
  <si>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</si>
  <si>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</si>
  <si>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</si>
  <si>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</si>
  <si>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</si>
  <si>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</si>
  <si>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</si>
  <si>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</si>
  <si>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</si>
  <si>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</si>
  <si>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</si>
  <si>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</si>
  <si>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</si>
  <si>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</si>
  <si>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</si>
  <si>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</si>
  <si>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</si>
  <si>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</si>
  <si>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</si>
  <si>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</si>
  <si>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</si>
  <si>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</si>
  <si>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</si>
  <si>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</si>
  <si>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</si>
  <si>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</si>
  <si>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</si>
  <si>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</si>
  <si>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</si>
  <si>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</si>
  <si>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</si>
  <si>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</si>
  <si>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</si>
  <si>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</si>
  <si>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</si>
  <si>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</si>
  <si>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</si>
  <si>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</si>
  <si>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</si>
  <si>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</si>
  <si>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</si>
  <si>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</si>
  <si>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</si>
  <si>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</si>
  <si>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</si>
  <si>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</si>
  <si>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</si>
  <si>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</si>
  <si>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</si>
  <si>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</si>
  <si>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</si>
  <si>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</si>
  <si>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</si>
  <si>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</si>
  <si>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</si>
  <si>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</si>
  <si>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</si>
  <si>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</si>
  <si>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</si>
  <si>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</si>
  <si>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</si>
  <si>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</si>
  <si>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</si>
  <si>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</si>
  <si>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</si>
  <si>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</si>
  <si>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</si>
  <si>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</si>
  <si>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</si>
  <si>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</si>
  <si>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</si>
  <si>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</si>
  <si>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</si>
  <si>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</si>
  <si>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</si>
  <si>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</si>
  <si>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</si>
  <si>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</si>
  <si>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</si>
  <si>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</si>
  <si>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</si>
  <si>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</si>
  <si>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</si>
  <si>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</si>
  <si>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</si>
  <si>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</si>
  <si>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</si>
  <si>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</si>
  <si>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</si>
  <si>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</si>
  <si>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</si>
  <si>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</si>
  <si>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</si>
  <si>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</si>
  <si>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</si>
  <si>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</si>
  <si>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</si>
  <si>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</si>
  <si>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</si>
  <si>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</si>
  <si>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</si>
  <si>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</si>
  <si>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</si>
  <si>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</si>
  <si>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</si>
  <si>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</si>
  <si>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</si>
  <si>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</si>
  <si>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</si>
  <si>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</si>
  <si>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</si>
  <si>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</si>
  <si>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</si>
  <si>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</si>
  <si>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</si>
  <si>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</si>
  <si>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</si>
  <si>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</si>
  <si>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</si>
  <si>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</si>
  <si>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</si>
  <si>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</si>
  <si>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</si>
  <si>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</si>
  <si>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</si>
  <si>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</si>
  <si>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</si>
  <si>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</si>
  <si>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</si>
  <si>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</si>
  <si>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</si>
  <si>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</si>
  <si>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</si>
  <si>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</si>
  <si>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</si>
  <si>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</si>
  <si>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</si>
  <si>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</si>
  <si>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</si>
  <si>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</si>
  <si>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</si>
  <si>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</si>
  <si>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</si>
  <si>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</si>
  <si>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</si>
  <si>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</si>
  <si>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</si>
  <si>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</si>
  <si>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</si>
  <si>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</si>
  <si>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</si>
  <si>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</si>
  <si>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</si>
  <si>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</si>
  <si>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</si>
  <si>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</si>
  <si>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</si>
  <si>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</si>
  <si>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</si>
  <si>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</si>
  <si>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</si>
  <si>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</si>
  <si>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</si>
  <si>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</si>
  <si>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</si>
  <si>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</si>
  <si>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</si>
  <si>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</si>
  <si>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</si>
  <si>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</si>
  <si>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</si>
  <si>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</si>
  <si>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</si>
  <si>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</si>
  <si>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</si>
  <si>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</si>
  <si>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</si>
  <si>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</si>
  <si>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</si>
  <si>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</si>
  <si>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</si>
  <si>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</si>
  <si>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</si>
  <si>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</si>
  <si>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</si>
  <si>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</si>
  <si>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</si>
  <si>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</si>
  <si>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</si>
  <si>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</si>
  <si>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</si>
  <si>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</si>
  <si>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</si>
  <si>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</si>
  <si>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</si>
  <si>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</si>
  <si>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</si>
  <si>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</si>
  <si>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</si>
  <si>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</si>
  <si>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</si>
  <si>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</si>
  <si>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</si>
  <si>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</si>
  <si>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</si>
  <si>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</si>
  <si>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</si>
  <si>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</si>
  <si>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</si>
  <si>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</si>
  <si>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</si>
  <si>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</si>
  <si>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</si>
  <si>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</si>
  <si>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</si>
  <si>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</si>
  <si>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</si>
  <si>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</si>
  <si>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</si>
  <si>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</si>
  <si>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</si>
  <si>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</si>
  <si>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</si>
  <si>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</si>
  <si>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</si>
  <si>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</si>
  <si>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</si>
  <si>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</si>
  <si>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</si>
  <si>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</si>
  <si>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</si>
  <si>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</si>
  <si>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</si>
  <si>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</si>
  <si>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</si>
  <si>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</si>
  <si>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</si>
  <si>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</si>
  <si>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</si>
  <si>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</si>
  <si>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</si>
  <si>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</si>
  <si>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</si>
  <si>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</si>
  <si>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</si>
  <si>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</si>
  <si>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</si>
  <si>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</si>
  <si>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</si>
  <si>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</si>
  <si>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</si>
  <si>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</si>
  <si>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</si>
  <si>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</si>
  <si>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</si>
  <si>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</si>
  <si>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</si>
  <si>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</si>
  <si>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</si>
  <si>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</si>
  <si>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</si>
  <si>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</si>
  <si>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</si>
  <si>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</si>
  <si>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</si>
  <si>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</si>
  <si>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</si>
  <si>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</si>
  <si>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</si>
  <si>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</si>
  <si>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</si>
  <si>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</si>
  <si>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</si>
  <si>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</si>
  <si>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</si>
  <si>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</si>
  <si>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</si>
  <si>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</si>
  <si>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</si>
  <si>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</si>
  <si>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</si>
  <si>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</si>
  <si>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</si>
  <si>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</si>
  <si>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</si>
  <si>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</si>
  <si>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</si>
  <si>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</si>
  <si>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</si>
  <si>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</si>
  <si>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</si>
  <si>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</si>
  <si>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</si>
  <si>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</si>
  <si>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</si>
  <si>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</si>
  <si>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</si>
  <si>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</si>
  <si>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</si>
  <si>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</si>
  <si>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</si>
  <si>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</si>
  <si>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</si>
  <si>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</si>
  <si>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</si>
  <si>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</si>
  <si>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</si>
  <si>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</si>
  <si>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</si>
  <si>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</si>
  <si>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</si>
  <si>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</si>
  <si>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</si>
  <si>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</si>
  <si>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</si>
  <si>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</si>
  <si>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</si>
  <si>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</si>
  <si>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</si>
  <si>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</si>
  <si>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</si>
  <si>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</si>
  <si>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</si>
  <si>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</si>
  <si>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</si>
  <si>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</si>
  <si>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</si>
  <si>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</si>
  <si>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</si>
  <si>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</si>
  <si>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</si>
  <si>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</si>
  <si>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</si>
  <si>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</si>
  <si>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</si>
  <si>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</si>
  <si>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</si>
  <si>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</si>
  <si>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</si>
  <si>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</si>
  <si>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</si>
  <si>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</si>
  <si>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</si>
  <si>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</si>
  <si>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</si>
  <si>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</si>
  <si>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</si>
  <si>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</si>
  <si>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</si>
  <si>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</si>
  <si>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</si>
  <si>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</si>
  <si>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</si>
  <si>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</si>
  <si>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</si>
  <si>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</si>
  <si>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</si>
  <si>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</si>
  <si>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</si>
  <si>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</si>
  <si>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</si>
  <si>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</si>
  <si>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</si>
  <si>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</si>
  <si>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</si>
  <si>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</si>
  <si>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</si>
  <si>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</si>
  <si>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</si>
  <si>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</si>
  <si>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</si>
  <si>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</si>
  <si>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</si>
  <si>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</si>
  <si>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</si>
  <si>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</si>
  <si>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</si>
  <si>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</si>
  <si>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</si>
  <si>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</si>
  <si>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</si>
  <si>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</si>
  <si>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</si>
  <si>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</si>
  <si>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</si>
  <si>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</si>
  <si>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</si>
  <si>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</si>
  <si>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</si>
  <si>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</si>
  <si>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</si>
  <si>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</si>
  <si>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</si>
  <si>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</si>
  <si>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</si>
  <si>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</si>
  <si>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</si>
  <si>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</si>
  <si>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</si>
  <si>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</si>
  <si>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</si>
  <si>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</si>
  <si>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</si>
  <si>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</si>
  <si>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Распоряжение Комитета по тарифам Санкт-Петербурга от 27.06.2024 №94-р</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</si>
  <si>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</si>
  <si>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</si>
  <si>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</si>
  <si>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Внесены изменения в части льготного тарифа на тепловую энергию с 01.07.2024 (приложение 7 к Распоряжению Комитета по тарифам Санкт-Петербурга от 20.12.2023 №262-р)</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</si>
  <si>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</si>
  <si>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</si>
  <si>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</si>
  <si>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</si>
  <si>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</si>
  <si>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</si>
  <si>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</si>
  <si>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</si>
  <si>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</si>
  <si>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</si>
  <si>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</si>
  <si>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</si>
  <si>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</si>
  <si>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</si>
  <si>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</si>
  <si>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</si>
  <si>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</si>
  <si>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</si>
  <si>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</si>
  <si>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</si>
  <si>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</si>
  <si>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</si>
  <si>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</si>
  <si>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</si>
  <si>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</si>
  <si>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</si>
  <si>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</si>
  <si>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</si>
  <si>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</si>
  <si>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</si>
  <si>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</si>
  <si>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</si>
  <si>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</si>
  <si>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</si>
  <si>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</si>
  <si>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</si>
  <si>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</si>
  <si>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</si>
  <si>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</si>
  <si>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</si>
  <si>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</si>
  <si>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</si>
  <si>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</si>
  <si>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</si>
  <si>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</si>
  <si>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</si>
  <si>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</si>
  <si>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</si>
  <si>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</si>
  <si>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</si>
  <si>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</si>
  <si>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</si>
  <si>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</si>
  <si>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</si>
  <si>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</si>
  <si>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</si>
  <si>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</si>
  <si>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</si>
  <si>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</si>
  <si>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</si>
  <si>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</si>
  <si>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</si>
  <si>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</si>
  <si>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</si>
  <si>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</si>
  <si>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</si>
  <si>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</si>
  <si>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</si>
  <si>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</si>
  <si>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</si>
  <si>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</si>
  <si>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</si>
  <si>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</si>
  <si>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</si>
  <si>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</si>
  <si>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</si>
  <si>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</si>
  <si>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</si>
  <si>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</si>
  <si>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</si>
  <si>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</si>
  <si>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</si>
  <si>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</si>
  <si>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</si>
  <si>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</si>
  <si>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</si>
  <si>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</si>
  <si>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</si>
  <si>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</si>
  <si>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</si>
  <si>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</si>
  <si>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</si>
  <si>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</si>
  <si>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</si>
  <si>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</si>
  <si>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</si>
  <si>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</si>
  <si>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</si>
  <si>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</si>
  <si>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</si>
  <si>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</si>
  <si>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</si>
  <si>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</si>
  <si>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</si>
  <si>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</si>
  <si>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</si>
  <si>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</si>
  <si>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</si>
  <si>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</si>
  <si>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</si>
  <si>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</si>
  <si>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</si>
  <si>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</si>
  <si>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</si>
  <si>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</si>
  <si>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</si>
  <si>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</si>
  <si>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</si>
  <si>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</si>
  <si>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</si>
  <si>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</si>
  <si>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</si>
  <si>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</si>
  <si>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</si>
  <si>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</si>
  <si>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</si>
  <si>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</si>
  <si>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</si>
  <si>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</si>
  <si>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</si>
  <si>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</si>
  <si>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</si>
  <si>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</si>
  <si>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</si>
  <si>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</si>
  <si>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</si>
  <si>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</si>
  <si>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</si>
  <si>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</si>
  <si>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</si>
  <si>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</si>
  <si>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</si>
  <si>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</si>
  <si>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</si>
  <si>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</si>
  <si>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</si>
  <si>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</si>
  <si>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</si>
  <si>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</si>
  <si>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</si>
  <si>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</si>
  <si>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</si>
  <si>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</si>
  <si>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</si>
  <si>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</si>
  <si>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</si>
  <si>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</si>
  <si>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</si>
  <si>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</si>
  <si>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</si>
  <si>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</si>
  <si>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</si>
  <si>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</si>
  <si>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</si>
  <si>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</si>
  <si>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</si>
  <si>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</si>
  <si>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</si>
  <si>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</si>
  <si>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</si>
  <si>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</si>
  <si>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</si>
  <si>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</si>
  <si>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</si>
  <si>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</si>
  <si>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</si>
  <si>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</si>
  <si>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</si>
  <si>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</si>
  <si>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</si>
  <si>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</si>
  <si>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</si>
  <si>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</si>
  <si>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</si>
  <si>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</si>
  <si>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</si>
  <si>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</si>
  <si>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</si>
  <si>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</si>
  <si>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</si>
  <si>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</si>
  <si>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</si>
  <si>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</si>
  <si>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</si>
  <si>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</si>
  <si>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</si>
  <si>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</si>
  <si>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</si>
  <si>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</si>
  <si>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</si>
  <si>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</si>
  <si>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</si>
  <si>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</si>
  <si>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</si>
  <si>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</si>
  <si>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</si>
  <si>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</si>
  <si>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</si>
  <si>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</si>
  <si>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</si>
  <si>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</si>
  <si>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</si>
  <si>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</si>
  <si>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</si>
  <si>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</si>
  <si>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</si>
  <si>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</si>
  <si>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</si>
  <si>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</si>
  <si>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</si>
  <si>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</si>
  <si>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</si>
  <si>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</si>
  <si>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</si>
  <si>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</si>
  <si>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</si>
  <si>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</si>
  <si>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</si>
  <si>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</si>
  <si>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</si>
  <si>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</si>
  <si>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</si>
  <si>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</si>
  <si>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</si>
  <si>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</si>
  <si>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</si>
  <si>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</si>
  <si>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</si>
  <si>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</si>
  <si>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</si>
  <si>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</si>
  <si>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</si>
  <si>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</si>
  <si>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</si>
  <si>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</si>
  <si>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</si>
  <si>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</si>
  <si>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</si>
  <si>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</si>
  <si>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</si>
  <si>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</si>
  <si>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</si>
  <si>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</si>
  <si>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</si>
  <si>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</si>
  <si>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</si>
  <si>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</si>
  <si>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</si>
  <si>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</si>
  <si>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</si>
  <si>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</si>
  <si>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</si>
  <si>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</si>
  <si>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</si>
  <si>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</si>
  <si>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</si>
  <si>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</si>
  <si>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</si>
  <si>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</si>
  <si>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</si>
  <si>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</si>
  <si>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</si>
  <si>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</si>
  <si>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</si>
  <si>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</si>
  <si>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</si>
  <si>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</si>
  <si>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</si>
  <si>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</si>
  <si>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</si>
  <si>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</si>
  <si>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</si>
  <si>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</si>
  <si>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</si>
  <si>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</si>
  <si>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</si>
  <si>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</si>
  <si>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</si>
  <si>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</si>
  <si>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</si>
  <si>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</si>
  <si>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</si>
  <si>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</si>
  <si>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</si>
  <si>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</si>
  <si>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</si>
  <si>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</si>
  <si>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</si>
  <si>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</si>
  <si>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</si>
  <si>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</si>
  <si>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</si>
  <si>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</si>
  <si>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</si>
  <si>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</si>
  <si>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</si>
  <si>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</si>
  <si>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</si>
  <si>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</si>
  <si>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</si>
  <si>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</si>
  <si>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</si>
  <si>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</si>
  <si>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</si>
  <si>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</si>
  <si>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</si>
  <si>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</si>
  <si>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</si>
  <si>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</si>
  <si>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</si>
  <si>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</si>
  <si>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</si>
  <si>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</si>
  <si>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</si>
  <si>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</si>
  <si>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</si>
  <si>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</si>
  <si>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</si>
  <si>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</si>
  <si>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</si>
  <si>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</si>
  <si>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</si>
  <si>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</si>
  <si>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</si>
  <si>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</si>
  <si>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</si>
  <si>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</si>
  <si>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</si>
  <si>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</si>
  <si>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</si>
  <si>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</si>
  <si>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</si>
  <si>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</si>
  <si>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</si>
  <si>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</si>
  <si>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</si>
  <si>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</si>
  <si>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2614</t>
  </si>
  <si>
    <t>26641633</t>
  </si>
  <si>
    <t>АО "АТЭК"</t>
  </si>
  <si>
    <t>7826135558</t>
  </si>
  <si>
    <t>780501001</t>
  </si>
  <si>
    <t>26422350</t>
  </si>
  <si>
    <t>АО "Аккумуляторная компания "Ригель"</t>
  </si>
  <si>
    <t>7813054118</t>
  </si>
  <si>
    <t>26420583</t>
  </si>
  <si>
    <t>АО "Аэропорт "Пулково"</t>
  </si>
  <si>
    <t>7810091320</t>
  </si>
  <si>
    <t>781001001</t>
  </si>
  <si>
    <t>26422149</t>
  </si>
  <si>
    <t>АО "БЦ "АКВИЛОН"</t>
  </si>
  <si>
    <t>7802067080</t>
  </si>
  <si>
    <t>780201001</t>
  </si>
  <si>
    <t>31203865</t>
  </si>
  <si>
    <t>АО "Балтийский завод"</t>
  </si>
  <si>
    <t>7830001910</t>
  </si>
  <si>
    <t>780101001</t>
  </si>
  <si>
    <t>28266590</t>
  </si>
  <si>
    <t>АО "Василеостровская Фабрика"</t>
  </si>
  <si>
    <t>7825115990</t>
  </si>
  <si>
    <t>27-03-2024 00:00:00</t>
  </si>
  <si>
    <t>26847594</t>
  </si>
  <si>
    <t>АО "Водтрансприбор"</t>
  </si>
  <si>
    <t>7814010307</t>
  </si>
  <si>
    <t>781401001</t>
  </si>
  <si>
    <t>26361120</t>
  </si>
  <si>
    <t>АО "ГСР ТЭЦ"</t>
  </si>
  <si>
    <t>7817312063</t>
  </si>
  <si>
    <t>781701001</t>
  </si>
  <si>
    <t>26560525</t>
  </si>
  <si>
    <t>АО "ГУ ЖКХ"</t>
  </si>
  <si>
    <t>5116000922</t>
  </si>
  <si>
    <t>511601001</t>
  </si>
  <si>
    <t>13-05-2009 00:00:00</t>
  </si>
  <si>
    <t>30335229</t>
  </si>
  <si>
    <t>770401001</t>
  </si>
  <si>
    <t>28491236</t>
  </si>
  <si>
    <t>АО "Гостиница "Туррис"</t>
  </si>
  <si>
    <t>7830002575</t>
  </si>
  <si>
    <t>28450115</t>
  </si>
  <si>
    <t>АО "Группа Прайм"</t>
  </si>
  <si>
    <t>7825696286</t>
  </si>
  <si>
    <t>26422100</t>
  </si>
  <si>
    <t>АО "Завод "Реконд"</t>
  </si>
  <si>
    <t>7802005951</t>
  </si>
  <si>
    <t>01-07-1990 00:00:00</t>
  </si>
  <si>
    <t>26641637</t>
  </si>
  <si>
    <t>АО "Завод имени А.А.Кулакова"</t>
  </si>
  <si>
    <t>7813346618</t>
  </si>
  <si>
    <t>27621401</t>
  </si>
  <si>
    <t>АО "Завод имени М.И.Калинина"</t>
  </si>
  <si>
    <t>7801566094</t>
  </si>
  <si>
    <t>28812728</t>
  </si>
  <si>
    <t>АО "КИНОСТУДИЯ "ЛЕНФИЛЬМ"</t>
  </si>
  <si>
    <t>7813200545</t>
  </si>
  <si>
    <t>26361104</t>
  </si>
  <si>
    <t>АО "КировТЭК"</t>
  </si>
  <si>
    <t>7805060502</t>
  </si>
  <si>
    <t>26361095</t>
  </si>
  <si>
    <t>АО "Компонент"</t>
  </si>
  <si>
    <t>7804046015</t>
  </si>
  <si>
    <t>780401001</t>
  </si>
  <si>
    <t>28505234</t>
  </si>
  <si>
    <t>АО "Кронштадтский морской завод"</t>
  </si>
  <si>
    <t>7843003128</t>
  </si>
  <si>
    <t>784301001</t>
  </si>
  <si>
    <t>28453717</t>
  </si>
  <si>
    <t>АО "ЛКХП Кирова"</t>
  </si>
  <si>
    <t>7830002303</t>
  </si>
  <si>
    <t>783450001</t>
  </si>
  <si>
    <t>26361094</t>
  </si>
  <si>
    <t>АО "ЛОМО"</t>
  </si>
  <si>
    <t>7804002321</t>
  </si>
  <si>
    <t>26614924</t>
  </si>
  <si>
    <t>АО "ЛСР. Железобетон-СЗ"</t>
  </si>
  <si>
    <t>7830000578</t>
  </si>
  <si>
    <t>470501001</t>
  </si>
  <si>
    <t>27824854</t>
  </si>
  <si>
    <t>АО "Ленпромгаз"</t>
  </si>
  <si>
    <t>7841333120</t>
  </si>
  <si>
    <t>784101001</t>
  </si>
  <si>
    <t>26361102</t>
  </si>
  <si>
    <t>АО "Морской порт Санкт-Петербург"</t>
  </si>
  <si>
    <t>7805025346</t>
  </si>
  <si>
    <t>30983227</t>
  </si>
  <si>
    <t>АО "НИИ "Вектор"</t>
  </si>
  <si>
    <t>7813491943</t>
  </si>
  <si>
    <t>28796102</t>
  </si>
  <si>
    <t>АО "НИИ командных приборов"</t>
  </si>
  <si>
    <t>7805654288</t>
  </si>
  <si>
    <t>27628470</t>
  </si>
  <si>
    <t>АО "НПП "Краснознамёнец"</t>
  </si>
  <si>
    <t>7806469104</t>
  </si>
  <si>
    <t>19-01-2012 00:00:00</t>
  </si>
  <si>
    <t>27551052</t>
  </si>
  <si>
    <t>АО "Невская мануфактура"</t>
  </si>
  <si>
    <t>7811056991</t>
  </si>
  <si>
    <t>781101001</t>
  </si>
  <si>
    <t>17-06-2024 00:00:00</t>
  </si>
  <si>
    <t>31206594</t>
  </si>
  <si>
    <t>АО "Особая экономическая зона "Санкт-Петербург"</t>
  </si>
  <si>
    <t>7819036901</t>
  </si>
  <si>
    <t>781901001</t>
  </si>
  <si>
    <t>28155081</t>
  </si>
  <si>
    <t>АО "Первый контейнерный терминал"</t>
  </si>
  <si>
    <t>7805113497</t>
  </si>
  <si>
    <t>997650001</t>
  </si>
  <si>
    <t>28072594</t>
  </si>
  <si>
    <t>АО "РУСТ-95"</t>
  </si>
  <si>
    <t>7728120384</t>
  </si>
  <si>
    <t>26828034</t>
  </si>
  <si>
    <t>АО "РЭУ" филиал "Санкт-Петербургский"</t>
  </si>
  <si>
    <t>7714783092</t>
  </si>
  <si>
    <t>783943001</t>
  </si>
  <si>
    <t>28042569</t>
  </si>
  <si>
    <t>АО "Редэс Лтд"</t>
  </si>
  <si>
    <t>7801059070</t>
  </si>
  <si>
    <t>26361106</t>
  </si>
  <si>
    <t>АО "Русские самоцветы"</t>
  </si>
  <si>
    <t>7806007100</t>
  </si>
  <si>
    <t>28143840</t>
  </si>
  <si>
    <t>АО "Рыбокомбинат"</t>
  </si>
  <si>
    <t>7804036909</t>
  </si>
  <si>
    <t>31416469</t>
  </si>
  <si>
    <t>АО "Сетевая компания "ОСК"</t>
  </si>
  <si>
    <t>7805735152</t>
  </si>
  <si>
    <t>29-10-2018 00:00:00</t>
  </si>
  <si>
    <t>26590970</t>
  </si>
  <si>
    <t>АО "Совавто-С.Петербург"</t>
  </si>
  <si>
    <t>7810216498</t>
  </si>
  <si>
    <t>28091963</t>
  </si>
  <si>
    <t>АО "Телерадиокомпания "Петербург"</t>
  </si>
  <si>
    <t>7825404448</t>
  </si>
  <si>
    <t>26555650</t>
  </si>
  <si>
    <t>АО "Теплосеть Санкт-Петербурга"</t>
  </si>
  <si>
    <t>7810577007</t>
  </si>
  <si>
    <t>28152736</t>
  </si>
  <si>
    <t>АО "ЦКБ МТ "Рубин"</t>
  </si>
  <si>
    <t>7838418751</t>
  </si>
  <si>
    <t>997850001</t>
  </si>
  <si>
    <t>26533887</t>
  </si>
  <si>
    <t>АО "Юго-Западная ТЭЦ"</t>
  </si>
  <si>
    <t>7813323258</t>
  </si>
  <si>
    <t>28042447</t>
  </si>
  <si>
    <t>АО ВО "Электроаппарат"</t>
  </si>
  <si>
    <t>7801032688</t>
  </si>
  <si>
    <t>30427522</t>
  </si>
  <si>
    <t>АО ГУ ЖКХ ОП "Санкт-Петербургское"</t>
  </si>
  <si>
    <t>784245001</t>
  </si>
  <si>
    <t>12-10-2015 00:00:00</t>
  </si>
  <si>
    <t>27997479</t>
  </si>
  <si>
    <t>Акционерное общество "Иван Федоров"</t>
  </si>
  <si>
    <t>7816067965</t>
  </si>
  <si>
    <t>01-08-2013 00:00:00</t>
  </si>
  <si>
    <t>28855708</t>
  </si>
  <si>
    <t>ГАО РАН</t>
  </si>
  <si>
    <t>7810207327</t>
  </si>
  <si>
    <t>26422494</t>
  </si>
  <si>
    <t>ГУП "Водоканал Санкт-Петербурга"</t>
  </si>
  <si>
    <t>7830000426</t>
  </si>
  <si>
    <t>784201001</t>
  </si>
  <si>
    <t>26361126</t>
  </si>
  <si>
    <t>ГУП "ТЭК СПб"</t>
  </si>
  <si>
    <t>7830001028</t>
  </si>
  <si>
    <t>28274316</t>
  </si>
  <si>
    <t>ЗАО "Асфальтобетонный Завод "Магистраль"</t>
  </si>
  <si>
    <t>7811038093</t>
  </si>
  <si>
    <t>28867621</t>
  </si>
  <si>
    <t>ЗАО "ЗМК-ИК"</t>
  </si>
  <si>
    <t>7811500159</t>
  </si>
  <si>
    <t>26361096</t>
  </si>
  <si>
    <t>ЗАО "Завод Красная Заря. Системы цифровой связи"</t>
  </si>
  <si>
    <t>7804080383</t>
  </si>
  <si>
    <t>28794896</t>
  </si>
  <si>
    <t>ЗАО "Невский завод"</t>
  </si>
  <si>
    <t>7806369727</t>
  </si>
  <si>
    <t>28493183</t>
  </si>
  <si>
    <t>ЗАО "Пансионат "Балтиец"</t>
  </si>
  <si>
    <t>7805093610</t>
  </si>
  <si>
    <t>26422368</t>
  </si>
  <si>
    <t>ЗАО "Пансионат "Буревестник"</t>
  </si>
  <si>
    <t>7827012742</t>
  </si>
  <si>
    <t>28042468</t>
  </si>
  <si>
    <t>ЗАО "Петроспирт"</t>
  </si>
  <si>
    <t>7805002518</t>
  </si>
  <si>
    <t>26597721</t>
  </si>
  <si>
    <t>ЗАО "Пластполимер-Т"</t>
  </si>
  <si>
    <t>7806419142</t>
  </si>
  <si>
    <t>780601001</t>
  </si>
  <si>
    <t>17-01-2024 00:00:00</t>
  </si>
  <si>
    <t>26533889</t>
  </si>
  <si>
    <t>ЗАО "Ресурс-Экономия"</t>
  </si>
  <si>
    <t>7820039657</t>
  </si>
  <si>
    <t>782001001</t>
  </si>
  <si>
    <t>27997575</t>
  </si>
  <si>
    <t>ЗАО "СВ-Сити"</t>
  </si>
  <si>
    <t>7816206305</t>
  </si>
  <si>
    <t>781601001</t>
  </si>
  <si>
    <t>26361116</t>
  </si>
  <si>
    <t>ЗАО "Тепломагистраль"</t>
  </si>
  <si>
    <t>7814302758</t>
  </si>
  <si>
    <t>28943782</t>
  </si>
  <si>
    <t>ЗАО "ЭКСИ-Банк"</t>
  </si>
  <si>
    <t>7831000940</t>
  </si>
  <si>
    <t>783501001</t>
  </si>
  <si>
    <t>28458587</t>
  </si>
  <si>
    <t>ИХС РАН</t>
  </si>
  <si>
    <t>7801019101</t>
  </si>
  <si>
    <t>КОМИТЕТ ПО ТАРИФАМ САНКТ-ПЕТЕРБУРГА</t>
  </si>
  <si>
    <t>7826692894</t>
  </si>
  <si>
    <t>28284366</t>
  </si>
  <si>
    <t>МРФ "Северо-Запад" ПАО "Ростелеком"</t>
  </si>
  <si>
    <t>7707049388</t>
  </si>
  <si>
    <t>784243001</t>
  </si>
  <si>
    <t>26773425</t>
  </si>
  <si>
    <t>МУП УЖКХ МО ВИЛЛОЗСКОЕ СП</t>
  </si>
  <si>
    <t>4720024228</t>
  </si>
  <si>
    <t>472501001</t>
  </si>
  <si>
    <t>28816484</t>
  </si>
  <si>
    <t>НАО "СВЕЗА Усть-Ижора"</t>
  </si>
  <si>
    <t>7817015769</t>
  </si>
  <si>
    <t>27114822</t>
  </si>
  <si>
    <t>НАО "Энергетический Альянс"</t>
  </si>
  <si>
    <t>7843300280</t>
  </si>
  <si>
    <t>10-07-2024 00:00:00</t>
  </si>
  <si>
    <t>28453706</t>
  </si>
  <si>
    <t>ОАО "20 АРЗ"</t>
  </si>
  <si>
    <t>7820309254</t>
  </si>
  <si>
    <t>28453728</t>
  </si>
  <si>
    <t>ОАО "61 БТРЗ"</t>
  </si>
  <si>
    <t>7819310752</t>
  </si>
  <si>
    <t>28091987</t>
  </si>
  <si>
    <t>ОАО "ГОИ им. С. И. Вавилова"</t>
  </si>
  <si>
    <t>7801591397</t>
  </si>
  <si>
    <t>26361118</t>
  </si>
  <si>
    <t>ОАО "Головной завод"</t>
  </si>
  <si>
    <t>7816222000</t>
  </si>
  <si>
    <t>20-02-2024 00:00:00</t>
  </si>
  <si>
    <t>26647768</t>
  </si>
  <si>
    <t>ОАО "ДОЗ-2"</t>
  </si>
  <si>
    <t>7830000271</t>
  </si>
  <si>
    <t>28544720</t>
  </si>
  <si>
    <t>ОАО "Завод ЭЛЕКТРОПУЛЬТ"</t>
  </si>
  <si>
    <t>7806008569</t>
  </si>
  <si>
    <t>27956327</t>
  </si>
  <si>
    <t>ОАО "Завод слоистых пластиков"</t>
  </si>
  <si>
    <t>7806005590</t>
  </si>
  <si>
    <t>26361091</t>
  </si>
  <si>
    <t>ОАО "Компрессор"</t>
  </si>
  <si>
    <t>7802071707</t>
  </si>
  <si>
    <t>26647775</t>
  </si>
  <si>
    <t>ОАО "Концерн "Гранит-Электрон"</t>
  </si>
  <si>
    <t>7842335610</t>
  </si>
  <si>
    <t>28042181</t>
  </si>
  <si>
    <t>ОАО "ЛЕНПОЛИГРАФМАШ"</t>
  </si>
  <si>
    <t>7813045025</t>
  </si>
  <si>
    <t>28453744</t>
  </si>
  <si>
    <t>ОАО "МЗ "Арсенал"</t>
  </si>
  <si>
    <t>7804040302</t>
  </si>
  <si>
    <t>27968093</t>
  </si>
  <si>
    <t>ОАО "Морской завод Алмаз"</t>
  </si>
  <si>
    <t>7728156800</t>
  </si>
  <si>
    <t>26361122</t>
  </si>
  <si>
    <t>ОАО "НПО ЦКТИ"</t>
  </si>
  <si>
    <t>7825660956</t>
  </si>
  <si>
    <t>26422145</t>
  </si>
  <si>
    <t>ОАО "Научно-производственный комплекс "Северная заря"</t>
  </si>
  <si>
    <t>7802064795</t>
  </si>
  <si>
    <t>28152707</t>
  </si>
  <si>
    <t>ОАО "Приморский парк Победы"</t>
  </si>
  <si>
    <t>7813464548</t>
  </si>
  <si>
    <t>26422310</t>
  </si>
  <si>
    <t>ОАО "Прядильно-ниточный комбинат "Красная нить"</t>
  </si>
  <si>
    <t>7802052172</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</si>
  <si>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</si>
  <si>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</si>
  <si>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</si>
  <si>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</si>
  <si>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</si>
  <si>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28255000</t>
  </si>
  <si>
    <t>ОАО "СПб Завод ТЭМП"</t>
  </si>
  <si>
    <t>7805017514</t>
  </si>
  <si>
    <t>26515996</t>
  </si>
  <si>
    <t>ОАО "Санкт-Петербургское морское бюро машиностроения "Малахит"</t>
  </si>
  <si>
    <t>7810537540</t>
  </si>
  <si>
    <t>18-11-2008 00:00:00</t>
  </si>
  <si>
    <t>28155094</t>
  </si>
  <si>
    <t>ОАО "Стройметалконструкция"</t>
  </si>
  <si>
    <t>7830000680</t>
  </si>
  <si>
    <t>27961378</t>
  </si>
  <si>
    <t>ОАО "Фирма Медполимер"</t>
  </si>
  <si>
    <t>7806008745</t>
  </si>
  <si>
    <t>28145322</t>
  </si>
  <si>
    <t>ОАО "Штурманские приборы"</t>
  </si>
  <si>
    <t>7806016697</t>
  </si>
  <si>
    <t>28427914</t>
  </si>
  <si>
    <t>ООО "АЛЬТЕРНАТИВА"</t>
  </si>
  <si>
    <t>7804509545</t>
  </si>
  <si>
    <t>31475145</t>
  </si>
  <si>
    <t>ООО "АНМ" (Александро-Невская мануфактура)</t>
  </si>
  <si>
    <t>7811185789</t>
  </si>
  <si>
    <t>26421969</t>
  </si>
  <si>
    <t>ООО "Адамант"</t>
  </si>
  <si>
    <t>7826101774</t>
  </si>
  <si>
    <t>783801001</t>
  </si>
  <si>
    <t>28942335</t>
  </si>
  <si>
    <t>ООО "Аквастим"</t>
  </si>
  <si>
    <t>7810896892</t>
  </si>
  <si>
    <t>26361105</t>
  </si>
  <si>
    <t>ООО "Акватерм"</t>
  </si>
  <si>
    <t>7805185251</t>
  </si>
  <si>
    <t>28427903</t>
  </si>
  <si>
    <t>ООО "Александро-Невская мануфактура"</t>
  </si>
  <si>
    <t>7811307571</t>
  </si>
  <si>
    <t>27819284</t>
  </si>
  <si>
    <t>ООО "Атлантик"</t>
  </si>
  <si>
    <t>7826135075</t>
  </si>
  <si>
    <t>26555079</t>
  </si>
  <si>
    <t>ООО "Воздушные ворота северной столицы"</t>
  </si>
  <si>
    <t>7703590927</t>
  </si>
  <si>
    <t>785150001</t>
  </si>
  <si>
    <t>28042558</t>
  </si>
  <si>
    <t>ООО "Возрождение"</t>
  </si>
  <si>
    <t>7840332364</t>
  </si>
  <si>
    <t>784001001</t>
  </si>
  <si>
    <t>30925410</t>
  </si>
  <si>
    <t>ООО "ГАЗКОМПЛЕКТ"</t>
  </si>
  <si>
    <t>7802528743</t>
  </si>
  <si>
    <t>26361113</t>
  </si>
  <si>
    <t>ООО "ГЕНЕРИРУЮЩАЯ КОМПАНИЯ "ОБУХОВОЭНЕРГО"</t>
  </si>
  <si>
    <t>7811618471</t>
  </si>
  <si>
    <t>26424110</t>
  </si>
  <si>
    <t>ООО "Газпром трансгаз Санкт-Петербург"</t>
  </si>
  <si>
    <t>7805018099</t>
  </si>
  <si>
    <t>26838677</t>
  </si>
  <si>
    <t>ООО "Гофра-2001"</t>
  </si>
  <si>
    <t>7820304249</t>
  </si>
  <si>
    <t>31350492</t>
  </si>
  <si>
    <t>ООО "ЕСЭ-Кубань"</t>
  </si>
  <si>
    <t>2373002188</t>
  </si>
  <si>
    <t>237301001</t>
  </si>
  <si>
    <t>06-09-2012 00:00:00</t>
  </si>
  <si>
    <t>31464180</t>
  </si>
  <si>
    <t>781445001</t>
  </si>
  <si>
    <t>31598749</t>
  </si>
  <si>
    <t>ООО "ИТЭ"</t>
  </si>
  <si>
    <t>7447297114</t>
  </si>
  <si>
    <t>745301001</t>
  </si>
  <si>
    <t>09-10-2020 00:00:00</t>
  </si>
  <si>
    <t>28122490</t>
  </si>
  <si>
    <t>ООО "Институт Гипроникель"</t>
  </si>
  <si>
    <t>7804349796</t>
  </si>
  <si>
    <t>26421911</t>
  </si>
  <si>
    <t>ООО "КОСМ "Энерго"</t>
  </si>
  <si>
    <t>7805065476</t>
  </si>
  <si>
    <t>31718234</t>
  </si>
  <si>
    <t>ООО "КТК"</t>
  </si>
  <si>
    <t>7817051911</t>
  </si>
  <si>
    <t>26361093</t>
  </si>
  <si>
    <t>ООО "Квартальная котельная"</t>
  </si>
  <si>
    <t>7802310698</t>
  </si>
  <si>
    <t>31586314</t>
  </si>
  <si>
    <t>ООО "Кожа СПб"</t>
  </si>
  <si>
    <t>7801706143</t>
  </si>
  <si>
    <t>09-11-2021 00:00:00</t>
  </si>
  <si>
    <t>28965696</t>
  </si>
  <si>
    <t>ООО "ЛПМ Скиф"</t>
  </si>
  <si>
    <t>7813142702</t>
  </si>
  <si>
    <t>31450519</t>
  </si>
  <si>
    <t>ООО "МЕЗОНЭНЕРГО"</t>
  </si>
  <si>
    <t>7802698819</t>
  </si>
  <si>
    <t>15-11-2019 00:00:00</t>
  </si>
  <si>
    <t>27546308</t>
  </si>
  <si>
    <t>ООО "МегаСтрой"</t>
  </si>
  <si>
    <t>7801185204</t>
  </si>
  <si>
    <t>31452002</t>
  </si>
  <si>
    <t>ООО "ОРИЕНТ БРИДЖ"</t>
  </si>
  <si>
    <t>9729095825</t>
  </si>
  <si>
    <t>772901001</t>
  </si>
  <si>
    <t>15-06-2017 00:00:00</t>
  </si>
  <si>
    <t>28152725</t>
  </si>
  <si>
    <t>ООО "Объединенные Пивоварни Хейникен"</t>
  </si>
  <si>
    <t>7802118578</t>
  </si>
  <si>
    <t>997350001</t>
  </si>
  <si>
    <t>28940429</t>
  </si>
  <si>
    <t>ООО "ПРОМ ИМПУЛЬС"</t>
  </si>
  <si>
    <t>7806520632</t>
  </si>
  <si>
    <t>27266270</t>
  </si>
  <si>
    <t>ООО "Петербургтеплоэнерго"</t>
  </si>
  <si>
    <t>7838024362</t>
  </si>
  <si>
    <t>783901001</t>
  </si>
  <si>
    <t>26421926</t>
  </si>
  <si>
    <t>ООО "Проектно-производственная компания "Регион"</t>
  </si>
  <si>
    <t>7802431406</t>
  </si>
  <si>
    <t>26322164</t>
  </si>
  <si>
    <t>ООО "Производственное объединение "Пекар"</t>
  </si>
  <si>
    <t>7801374265</t>
  </si>
  <si>
    <t>26647770</t>
  </si>
  <si>
    <t>ООО "Рассвет"</t>
  </si>
  <si>
    <t>7810191726</t>
  </si>
  <si>
    <t>31754370</t>
  </si>
  <si>
    <t>ООО "СЗТК"</t>
  </si>
  <si>
    <t>2901303540</t>
  </si>
  <si>
    <t>25-11-2020 00:00:00</t>
  </si>
  <si>
    <t>28042486</t>
  </si>
  <si>
    <t>ООО "СЗУК"</t>
  </si>
  <si>
    <t>7810509293</t>
  </si>
  <si>
    <t>26422761</t>
  </si>
  <si>
    <t>ООО "Самсон"</t>
  </si>
  <si>
    <t>7810015329</t>
  </si>
  <si>
    <t>28255011</t>
  </si>
  <si>
    <t>ООО "Светлана-Эстейт"</t>
  </si>
  <si>
    <t>7802385950</t>
  </si>
  <si>
    <t>27831333</t>
  </si>
  <si>
    <t>ООО "Системы Безопасности Северо-Запад"</t>
  </si>
  <si>
    <t>7802338277</t>
  </si>
  <si>
    <t>28509704</t>
  </si>
  <si>
    <t>ООО "Степан Разин Девелопмент"</t>
  </si>
  <si>
    <t>7805614870</t>
  </si>
  <si>
    <t>31682805</t>
  </si>
  <si>
    <t>ООО "ТЕПЛОСВЕТЛОЭНЕРГО"</t>
  </si>
  <si>
    <t>7802932762</t>
  </si>
  <si>
    <t>18-11-2022 00:00:00</t>
  </si>
  <si>
    <t>28511826</t>
  </si>
  <si>
    <t>ООО "ТЕПЛОЭНЕРГО"</t>
  </si>
  <si>
    <t>7802853013</t>
  </si>
  <si>
    <t>31308473</t>
  </si>
  <si>
    <t>ООО "ТСК 270"</t>
  </si>
  <si>
    <t>7838497200</t>
  </si>
  <si>
    <t>06-11-2013 00:00:00</t>
  </si>
  <si>
    <t>29647643</t>
  </si>
  <si>
    <t>ООО "ТСК"</t>
  </si>
  <si>
    <t>7842033592</t>
  </si>
  <si>
    <t>28113372</t>
  </si>
  <si>
    <t>ООО "ТЭК объединения "Скороход"</t>
  </si>
  <si>
    <t>7810270209</t>
  </si>
  <si>
    <t>31341607</t>
  </si>
  <si>
    <t>ООО "ТЭС СПб"</t>
  </si>
  <si>
    <t>7842141492</t>
  </si>
  <si>
    <t>31684265</t>
  </si>
  <si>
    <t>ООО "ТЭС"</t>
  </si>
  <si>
    <t>7842175269</t>
  </si>
  <si>
    <t>26-09-2019 00:00:00</t>
  </si>
  <si>
    <t>26421986</t>
  </si>
  <si>
    <t>ООО "Таймс"</t>
  </si>
  <si>
    <t>7814122120</t>
  </si>
  <si>
    <t>28422808</t>
  </si>
  <si>
    <t>ООО "ТеплоЭнергоВент"</t>
  </si>
  <si>
    <t>7806438628</t>
  </si>
  <si>
    <t>27971244</t>
  </si>
  <si>
    <t>ООО "Теплосервис"</t>
  </si>
  <si>
    <t>7839357460</t>
  </si>
  <si>
    <t>28151979</t>
  </si>
  <si>
    <t>ООО "Теплоснабжающая компания 282"</t>
  </si>
  <si>
    <t>7805519673</t>
  </si>
  <si>
    <t>28798987</t>
  </si>
  <si>
    <t>ООО "Технопарк №1"</t>
  </si>
  <si>
    <t>7841014910</t>
  </si>
  <si>
    <t>28001891</t>
  </si>
  <si>
    <t>ООО "Троя"</t>
  </si>
  <si>
    <t>7820034338</t>
  </si>
  <si>
    <t>28042530</t>
  </si>
  <si>
    <t>ООО "Хлебтранс СПб"</t>
  </si>
  <si>
    <t>7810467163</t>
  </si>
  <si>
    <t>783101001</t>
  </si>
  <si>
    <t>27988538</t>
  </si>
  <si>
    <t>ООО "ЦМТ и НТС"</t>
  </si>
  <si>
    <t>7813109141</t>
  </si>
  <si>
    <t>31635214</t>
  </si>
  <si>
    <t>ООО "Цветение вишни"</t>
  </si>
  <si>
    <t>7813232321</t>
  </si>
  <si>
    <t>27848302</t>
  </si>
  <si>
    <t>ООО "ЭКОН"</t>
  </si>
  <si>
    <t>7804176134</t>
  </si>
  <si>
    <t>26769190</t>
  </si>
  <si>
    <t>ООО "ЭНЕРГИЯ"</t>
  </si>
  <si>
    <t>7826087336</t>
  </si>
  <si>
    <t>28134965</t>
  </si>
  <si>
    <t>ООО "ЭНЕРГЭС"</t>
  </si>
  <si>
    <t>7801089980</t>
  </si>
  <si>
    <t>31342047</t>
  </si>
  <si>
    <t>ООО "ЭПС"</t>
  </si>
  <si>
    <t>7810757754</t>
  </si>
  <si>
    <t>26361114</t>
  </si>
  <si>
    <t>ООО "Эксплуатационная компания "Арго-Сервис"</t>
  </si>
  <si>
    <t>7811375691</t>
  </si>
  <si>
    <t>27976484</t>
  </si>
  <si>
    <t>ООО "Энергетические системы"</t>
  </si>
  <si>
    <t>7806302458</t>
  </si>
  <si>
    <t>28979613</t>
  </si>
  <si>
    <t>ООО "ЭнергоИнвест"</t>
  </si>
  <si>
    <t>7841378040</t>
  </si>
  <si>
    <t>30953255</t>
  </si>
  <si>
    <t>26421941</t>
  </si>
  <si>
    <t>ООО "ЭнергоРесурс 2005"</t>
  </si>
  <si>
    <t>7805387057</t>
  </si>
  <si>
    <t>27517472</t>
  </si>
  <si>
    <t>ООО "Энергогазмонтаж"</t>
  </si>
  <si>
    <t>7806119950</t>
  </si>
  <si>
    <t>26361123</t>
  </si>
  <si>
    <t>ООО "Энергосервис"</t>
  </si>
  <si>
    <t>7826140438</t>
  </si>
  <si>
    <t>28423270</t>
  </si>
  <si>
    <t>ООО "ЮИТ Сервис"</t>
  </si>
  <si>
    <t>7814422759</t>
  </si>
  <si>
    <t>26578046</t>
  </si>
  <si>
    <t>ООО "Юнит"</t>
  </si>
  <si>
    <t>7207009725</t>
  </si>
  <si>
    <t>31604737</t>
  </si>
  <si>
    <t>ООО УК "АСК"</t>
  </si>
  <si>
    <t>7801673850</t>
  </si>
  <si>
    <t>05-11-2019 00:00:00</t>
  </si>
  <si>
    <t>28496542</t>
  </si>
  <si>
    <t>ООО УК "Лэмз"</t>
  </si>
  <si>
    <t>7703792360</t>
  </si>
  <si>
    <t>26647708</t>
  </si>
  <si>
    <t>ПАО "Пролетарский завод"</t>
  </si>
  <si>
    <t>7811039386</t>
  </si>
  <si>
    <t>27054332</t>
  </si>
  <si>
    <t>ПАО "ТГК-1" (не использовать в ЕИАС)</t>
  </si>
  <si>
    <t>780102001</t>
  </si>
  <si>
    <t>26422151</t>
  </si>
  <si>
    <t>ПАО "Техприбор"</t>
  </si>
  <si>
    <t>7810237177</t>
  </si>
  <si>
    <t>28960049</t>
  </si>
  <si>
    <t>ПАО СЗ "Северная верфь"</t>
  </si>
  <si>
    <t>7805034277</t>
  </si>
  <si>
    <t>26516049</t>
  </si>
  <si>
    <t>С/х производственный кооператив "Племзавод "Детскосельский"</t>
  </si>
  <si>
    <t>7820027796</t>
  </si>
  <si>
    <t>28191592</t>
  </si>
  <si>
    <t>СПб ГБУЗ "Городская больница им. Н.А.Семашко"</t>
  </si>
  <si>
    <t>7820013553</t>
  </si>
  <si>
    <t>26322166</t>
  </si>
  <si>
    <t>СПб ГУП "Петербургский метрополитен"</t>
  </si>
  <si>
    <t>7830000970</t>
  </si>
  <si>
    <t>27995413</t>
  </si>
  <si>
    <t>Университет ИТМО</t>
  </si>
  <si>
    <t>7813045547</t>
  </si>
  <si>
    <t>26491915</t>
  </si>
  <si>
    <t>ФГАОУ ВО "СПбПУ"</t>
  </si>
  <si>
    <t>7804040077</t>
  </si>
  <si>
    <t>28454949</t>
  </si>
  <si>
    <t>ФГБНУ ВИР</t>
  </si>
  <si>
    <t>7812029408</t>
  </si>
  <si>
    <t>26361089</t>
  </si>
  <si>
    <t>ФГБОУ ВО "ГУМРФ имени адмирала С.О. Макарова"</t>
  </si>
  <si>
    <t>7805029012</t>
  </si>
  <si>
    <t>26422396</t>
  </si>
  <si>
    <t>ФГБОУ ВО ПГУПС</t>
  </si>
  <si>
    <t>7812009592</t>
  </si>
  <si>
    <t>28934747</t>
  </si>
  <si>
    <t>ФГБОУ ВПО "СПбГАВМ"</t>
  </si>
  <si>
    <t>7810232965</t>
  </si>
  <si>
    <t>30903763</t>
  </si>
  <si>
    <t>ФГБУ "ЦЖКУ" МИНОБОРОНЫ РОССИИ</t>
  </si>
  <si>
    <t>7729314745</t>
  </si>
  <si>
    <t>770101001</t>
  </si>
  <si>
    <t>28436138</t>
  </si>
  <si>
    <t>ФГБУН Институт прикладной астрономии Российской академии наук</t>
  </si>
  <si>
    <t>7813045434</t>
  </si>
  <si>
    <t>28485475</t>
  </si>
  <si>
    <t>ФГКУ "Невский СЦ МЧС России"</t>
  </si>
  <si>
    <t>7817002417</t>
  </si>
  <si>
    <t>26361128</t>
  </si>
  <si>
    <t>Филиал "Северо-Западная ТЭЦ им. А.Г.Бориса" АО "Интер РАО - Электрогенерация"</t>
  </si>
  <si>
    <t>7704784450</t>
  </si>
  <si>
    <t>781443001</t>
  </si>
  <si>
    <t>31754060</t>
  </si>
  <si>
    <t>Филиал ФГБУ "ЦЖКУ" Минобороны России (по ЛенВО)</t>
  </si>
  <si>
    <t>21-01-2002 00:00:00</t>
  </si>
  <si>
    <t>30941480</t>
  </si>
  <si>
    <t>Филиал ФГБУ "ЦЖКУ" Минобороны России (по МВО)</t>
  </si>
  <si>
    <t>503243002</t>
  </si>
  <si>
    <t>26422522</t>
  </si>
  <si>
    <t>АО "ГСР Водоканал"</t>
  </si>
  <si>
    <t>7817309159</t>
  </si>
  <si>
    <t>26614854</t>
  </si>
  <si>
    <t>ЗАО "Агентство "Шушары"</t>
  </si>
  <si>
    <t>7820016970</t>
  </si>
  <si>
    <t>26627186</t>
  </si>
  <si>
    <t>ОАО "РЖД" (Октябрьская железная дорога - филиал ОАО "РЖД")</t>
  </si>
  <si>
    <t>783402001</t>
  </si>
  <si>
    <t>23-11-2010 00:00:00</t>
  </si>
  <si>
    <t>31221988</t>
  </si>
  <si>
    <t>ООО "ВОДОКАНАЛ ЮЖНЫЙ"</t>
  </si>
  <si>
    <t>7820058378</t>
  </si>
  <si>
    <t>31110004</t>
  </si>
  <si>
    <t>ООО "ДОЗ № 1"</t>
  </si>
  <si>
    <t>7816337717</t>
  </si>
  <si>
    <t>31084932</t>
  </si>
  <si>
    <t>ООО "Колпинский промышленный водоканал"</t>
  </si>
  <si>
    <t>7817076850</t>
  </si>
  <si>
    <t>26868131</t>
  </si>
  <si>
    <t>ООО "Коммунальное хозяйство"</t>
  </si>
  <si>
    <t>7817056892</t>
  </si>
  <si>
    <t>27513672</t>
  </si>
  <si>
    <t>ООО "ЭКОЛ"</t>
  </si>
  <si>
    <t>7801160351</t>
  </si>
  <si>
    <t>28505728</t>
  </si>
  <si>
    <t>СПб ГБСУСО "Психоневрологический интернат №6"</t>
  </si>
  <si>
    <t>7827661874</t>
  </si>
  <si>
    <t>26380420</t>
  </si>
  <si>
    <t>Филиал "Невский водопровод" АО "ЛОКС"</t>
  </si>
  <si>
    <t>4705029366</t>
  </si>
  <si>
    <t>781703001</t>
  </si>
  <si>
    <t>27976424</t>
  </si>
  <si>
    <t>АО "ЭКОПРОМ"</t>
  </si>
  <si>
    <t>7816035716</t>
  </si>
  <si>
    <t>28492986</t>
  </si>
  <si>
    <t>ГБОУ "Балтийский берег"</t>
  </si>
  <si>
    <t>7825465497</t>
  </si>
  <si>
    <t>28799275</t>
  </si>
  <si>
    <t>ООО "СК-СИГМА"</t>
  </si>
  <si>
    <t>7801583967</t>
  </si>
  <si>
    <t>28508632</t>
  </si>
  <si>
    <t>ООО "Энергоснаб - Красные Зори"</t>
  </si>
  <si>
    <t>7819025321</t>
  </si>
  <si>
    <t>07-06-2024 00:00:00</t>
  </si>
  <si>
    <t>31348228</t>
  </si>
  <si>
    <t>OOO "Топливная экологическая компания"</t>
  </si>
  <si>
    <t>7805523775</t>
  </si>
  <si>
    <t>31412321</t>
  </si>
  <si>
    <t>АО "АВТОПАРК №1 "СПЕЦТРАНС"</t>
  </si>
  <si>
    <t>7830002705</t>
  </si>
  <si>
    <t>31471870</t>
  </si>
  <si>
    <t>АО "Невский экологический оператор"</t>
  </si>
  <si>
    <t>7804678913</t>
  </si>
  <si>
    <t>26556065</t>
  </si>
  <si>
    <t>АО "Управляющая компания по обращению с отходами в Ленинградской области</t>
  </si>
  <si>
    <t>4704077078</t>
  </si>
  <si>
    <t>470401001</t>
  </si>
  <si>
    <t>26382441</t>
  </si>
  <si>
    <t>ООО "АВТО-БЕРКУТ"</t>
  </si>
  <si>
    <t>4710010508</t>
  </si>
  <si>
    <t>471001001</t>
  </si>
  <si>
    <t>31412204</t>
  </si>
  <si>
    <t>ООО "НОВЫЙ СВЕТ.ЭКО"</t>
  </si>
  <si>
    <t>7810345944</t>
  </si>
  <si>
    <t>28459203</t>
  </si>
  <si>
    <t>ООО "Новый Свет-ЭКО"</t>
  </si>
  <si>
    <t>4719017995</t>
  </si>
  <si>
    <t>26382433</t>
  </si>
  <si>
    <t>ООО "Полигон ТБО"</t>
  </si>
  <si>
    <t>4703037467</t>
  </si>
  <si>
    <t>470301001</t>
  </si>
  <si>
    <t>26382436</t>
  </si>
  <si>
    <t>ООО "РАСЭМ"</t>
  </si>
  <si>
    <t>4704054105</t>
  </si>
  <si>
    <t>31701309</t>
  </si>
  <si>
    <t>ООО "Ресурс АТЭ"</t>
  </si>
  <si>
    <t>7810900796</t>
  </si>
  <si>
    <t>03-12-2014 00:00:00</t>
  </si>
  <si>
    <t>31251286</t>
  </si>
  <si>
    <t>ООО "Эко Лэнд"</t>
  </si>
  <si>
    <t>7839031482</t>
  </si>
  <si>
    <t>31022717</t>
  </si>
  <si>
    <t>ООО "Эко ПЛАНТ"</t>
  </si>
  <si>
    <t>4716042665</t>
  </si>
  <si>
    <t>471601001</t>
  </si>
  <si>
    <t>31557668</t>
  </si>
  <si>
    <t>ООО "Эковаст"</t>
  </si>
  <si>
    <t>7811651260</t>
  </si>
  <si>
    <t>06-06-2017 00:00:00</t>
  </si>
  <si>
    <t>26422737</t>
  </si>
  <si>
    <t>СПб ГУП "Завод МПБО-2"</t>
  </si>
  <si>
    <t>7806044006</t>
  </si>
  <si>
    <t>NSRF</t>
  </si>
  <si>
    <t>MR_NAME</t>
  </si>
  <si>
    <t>OKTMO_MR_NAME</t>
  </si>
  <si>
    <t>MO_NAME</t>
  </si>
  <si>
    <t>OKTMO_NAME</t>
  </si>
  <si>
    <t>TYPE</t>
  </si>
  <si>
    <t>MR_ID</t>
  </si>
  <si>
    <t>город Зеленогорск</t>
  </si>
  <si>
    <t>40361000</t>
  </si>
  <si>
    <t>внутригородская территория (внутригородское муниципальное образование) города федерального значения</t>
  </si>
  <si>
    <t>город Колпино</t>
  </si>
  <si>
    <t>40342000</t>
  </si>
  <si>
    <t>город Красное Село</t>
  </si>
  <si>
    <t>40353000</t>
  </si>
  <si>
    <t>город Кронштадт</t>
  </si>
  <si>
    <t>40360000</t>
  </si>
  <si>
    <t>город Ломоносов</t>
  </si>
  <si>
    <t>40372000</t>
  </si>
  <si>
    <t>город Павловск</t>
  </si>
  <si>
    <t>40387000</t>
  </si>
  <si>
    <t>город Петергоф</t>
  </si>
  <si>
    <t>40395000</t>
  </si>
  <si>
    <t>город Пушкин</t>
  </si>
  <si>
    <t>40397000</t>
  </si>
  <si>
    <t>город федерального значения</t>
  </si>
  <si>
    <t>город Сестрорецк</t>
  </si>
  <si>
    <t>40362000</t>
  </si>
  <si>
    <t>муниципальный округ № 15</t>
  </si>
  <si>
    <t>40317000</t>
  </si>
  <si>
    <t>муниципальный округ № 21</t>
  </si>
  <si>
    <t>40331000</t>
  </si>
  <si>
    <t>муниципальный округ № 54</t>
  </si>
  <si>
    <t>40383000</t>
  </si>
  <si>
    <t>муниципальный округ № 65</t>
  </si>
  <si>
    <t>40322000</t>
  </si>
  <si>
    <t>муниципальный округ № 7</t>
  </si>
  <si>
    <t>40307000</t>
  </si>
  <si>
    <t>муниципальный округ № 72</t>
  </si>
  <si>
    <t>40903000</t>
  </si>
  <si>
    <t>внутригородская территория города федерального значения</t>
  </si>
  <si>
    <t>муниципальный округ № 78</t>
  </si>
  <si>
    <t>40909000</t>
  </si>
  <si>
    <t>муниципальный округ Автово</t>
  </si>
  <si>
    <t>40338000</t>
  </si>
  <si>
    <t>муниципальный округ Адмиралтейский округ</t>
  </si>
  <si>
    <t>40303000</t>
  </si>
  <si>
    <t>муниципальный округ Академическое</t>
  </si>
  <si>
    <t>40329000</t>
  </si>
  <si>
    <t>муниципальный округ Александровский</t>
  </si>
  <si>
    <t>40906000</t>
  </si>
  <si>
    <t>муниципальный округ Аптекарский остров</t>
  </si>
  <si>
    <t>40392000</t>
  </si>
  <si>
    <t>муниципальный округ Балканский</t>
  </si>
  <si>
    <t>40907000</t>
  </si>
  <si>
    <t>муниципальный округ Большая Охта</t>
  </si>
  <si>
    <t>40349000</t>
  </si>
  <si>
    <t>муниципальный округ Васильевский</t>
  </si>
  <si>
    <t>40308000</t>
  </si>
  <si>
    <t>муниципальный округ Введенский</t>
  </si>
  <si>
    <t>40389000</t>
  </si>
  <si>
    <t>муниципальный округ Владимирский округ</t>
  </si>
  <si>
    <t>40913000</t>
  </si>
  <si>
    <t>муниципальный округ Волковское</t>
  </si>
  <si>
    <t>40902000</t>
  </si>
  <si>
    <t>муниципальный округ Гавань</t>
  </si>
  <si>
    <t>40309000</t>
  </si>
  <si>
    <t>муниципальный округ Гагаринское</t>
  </si>
  <si>
    <t>40374000</t>
  </si>
  <si>
    <t>муниципальный округ Георгиевский</t>
  </si>
  <si>
    <t>40905000</t>
  </si>
  <si>
    <t>муниципальный округ Горелово</t>
  </si>
  <si>
    <t>40359000</t>
  </si>
  <si>
    <t>муниципальный округ Гражданка</t>
  </si>
  <si>
    <t>40328000</t>
  </si>
  <si>
    <t>муниципальный округ Дачное</t>
  </si>
  <si>
    <t>40337000</t>
  </si>
  <si>
    <t>муниципальный округ Дворцовый округ</t>
  </si>
  <si>
    <t>40908000</t>
  </si>
  <si>
    <t>муниципальный округ Екатерингофский</t>
  </si>
  <si>
    <t>40306000</t>
  </si>
  <si>
    <t>муниципальный округ Звездное</t>
  </si>
  <si>
    <t>40377000</t>
  </si>
  <si>
    <t>муниципальный округ Ивановский</t>
  </si>
  <si>
    <t>40379000</t>
  </si>
  <si>
    <t>муниципальный округ Измайловское</t>
  </si>
  <si>
    <t>40305000</t>
  </si>
  <si>
    <t>муниципальный округ Княжево</t>
  </si>
  <si>
    <t>40335000</t>
  </si>
  <si>
    <t>муниципальный округ Коломна</t>
  </si>
  <si>
    <t>40301000</t>
  </si>
  <si>
    <t>муниципальный округ Коломяги</t>
  </si>
  <si>
    <t>40327000</t>
  </si>
  <si>
    <t>муниципальный округ Комендантский аэродром</t>
  </si>
  <si>
    <t>40324000</t>
  </si>
  <si>
    <t>муниципальный округ Константиновское</t>
  </si>
  <si>
    <t>40358000</t>
  </si>
  <si>
    <t>муниципальный округ Красненькая речка</t>
  </si>
  <si>
    <t>40340000</t>
  </si>
  <si>
    <t>муниципальный округ Кронверкское</t>
  </si>
  <si>
    <t>40390000</t>
  </si>
  <si>
    <t>муниципальный округ Купчино</t>
  </si>
  <si>
    <t>40904000</t>
  </si>
  <si>
    <t>муниципальный округ Ланское</t>
  </si>
  <si>
    <t>40323000</t>
  </si>
  <si>
    <t>муниципальный округ Лахта-Ольгино</t>
  </si>
  <si>
    <t>40321000</t>
  </si>
  <si>
    <t>муниципальный округ Лиговка-Ямская</t>
  </si>
  <si>
    <t>40912000</t>
  </si>
  <si>
    <t>муниципальный округ Литейный округ</t>
  </si>
  <si>
    <t>40910000</t>
  </si>
  <si>
    <t>муниципальный округ Малая Охта</t>
  </si>
  <si>
    <t>40350000</t>
  </si>
  <si>
    <t>муниципальный округ Морские ворота</t>
  </si>
  <si>
    <t>40341000</t>
  </si>
  <si>
    <t>муниципальный округ Морской</t>
  </si>
  <si>
    <t>40310000</t>
  </si>
  <si>
    <t>муниципальный округ Московская застава</t>
  </si>
  <si>
    <t>40373000</t>
  </si>
  <si>
    <t>муниципальный округ Нарвский округ</t>
  </si>
  <si>
    <t>40339000</t>
  </si>
  <si>
    <t>муниципальный округ Народный</t>
  </si>
  <si>
    <t>40382000</t>
  </si>
  <si>
    <t>муниципальный округ Невская застава</t>
  </si>
  <si>
    <t>40378000</t>
  </si>
  <si>
    <t>муниципальный округ Невский округ</t>
  </si>
  <si>
    <t>40384000</t>
  </si>
  <si>
    <t>муниципальный округ Новоизмайловское</t>
  </si>
  <si>
    <t>40375000</t>
  </si>
  <si>
    <t>60</t>
  </si>
  <si>
    <t>муниципальный округ Обуховский</t>
  </si>
  <si>
    <t>40380000</t>
  </si>
  <si>
    <t>61</t>
  </si>
  <si>
    <t>муниципальный округ Озеро Долгое</t>
  </si>
  <si>
    <t>40325000</t>
  </si>
  <si>
    <t>62</t>
  </si>
  <si>
    <t>муниципальный округ Оккервиль</t>
  </si>
  <si>
    <t>40385000</t>
  </si>
  <si>
    <t>63</t>
  </si>
  <si>
    <t>муниципальный округ Остров Декабристов</t>
  </si>
  <si>
    <t>40311000</t>
  </si>
  <si>
    <t>64</t>
  </si>
  <si>
    <t>муниципальный округ Пискаревка</t>
  </si>
  <si>
    <t>40332000</t>
  </si>
  <si>
    <t>65</t>
  </si>
  <si>
    <t>муниципальный округ Полюстрово</t>
  </si>
  <si>
    <t>40348000</t>
  </si>
  <si>
    <t>муниципальный округ Пороховые</t>
  </si>
  <si>
    <t>40351000</t>
  </si>
  <si>
    <t>67</t>
  </si>
  <si>
    <t>муниципальный округ Посадский</t>
  </si>
  <si>
    <t>40391000</t>
  </si>
  <si>
    <t>муниципальный округ Правобережный</t>
  </si>
  <si>
    <t>40386000</t>
  </si>
  <si>
    <t>69</t>
  </si>
  <si>
    <t>муниципальный округ Прометей</t>
  </si>
  <si>
    <t>40334000</t>
  </si>
  <si>
    <t>70</t>
  </si>
  <si>
    <t>муниципальный округ Пулковский меридиан</t>
  </si>
  <si>
    <t>40376000</t>
  </si>
  <si>
    <t>71</t>
  </si>
  <si>
    <t>муниципальный округ Ржевка</t>
  </si>
  <si>
    <t>40352000</t>
  </si>
  <si>
    <t>72</t>
  </si>
  <si>
    <t>муниципальный округ Рыбацкое</t>
  </si>
  <si>
    <t>40381000</t>
  </si>
  <si>
    <t>73</t>
  </si>
  <si>
    <t>муниципальный округ Сампсониевское</t>
  </si>
  <si>
    <t>40314000</t>
  </si>
  <si>
    <t>74</t>
  </si>
  <si>
    <t>муниципальный округ Светлановское</t>
  </si>
  <si>
    <t>40315000</t>
  </si>
  <si>
    <t>75</t>
  </si>
  <si>
    <t>муниципальный округ Северный</t>
  </si>
  <si>
    <t>40333000</t>
  </si>
  <si>
    <t>76</t>
  </si>
  <si>
    <t>муниципальный округ Семеновский</t>
  </si>
  <si>
    <t>40304000</t>
  </si>
  <si>
    <t>77</t>
  </si>
  <si>
    <t>муниципальный округ Сенной округ</t>
  </si>
  <si>
    <t>40302000</t>
  </si>
  <si>
    <t>78</t>
  </si>
  <si>
    <t>муниципальный округ Сергиевское</t>
  </si>
  <si>
    <t>40318000</t>
  </si>
  <si>
    <t>79</t>
  </si>
  <si>
    <t>муниципальный округ Смольнинское</t>
  </si>
  <si>
    <t>40911000</t>
  </si>
  <si>
    <t>80</t>
  </si>
  <si>
    <t>муниципальный округ Сосновая поляна</t>
  </si>
  <si>
    <t>40356000</t>
  </si>
  <si>
    <t>81</t>
  </si>
  <si>
    <t>муниципальный округ Сосновское</t>
  </si>
  <si>
    <t>40316000</t>
  </si>
  <si>
    <t>82</t>
  </si>
  <si>
    <t>муниципальный округ Ульянка</t>
  </si>
  <si>
    <t>40336000</t>
  </si>
  <si>
    <t>83</t>
  </si>
  <si>
    <t>муниципальный округ Урицк</t>
  </si>
  <si>
    <t>40357000</t>
  </si>
  <si>
    <t>84</t>
  </si>
  <si>
    <t>муниципальный округ Финляндский округ</t>
  </si>
  <si>
    <t>40330000</t>
  </si>
  <si>
    <t>85</t>
  </si>
  <si>
    <t>муниципальный округ Чкаловское</t>
  </si>
  <si>
    <t>40394000</t>
  </si>
  <si>
    <t>86</t>
  </si>
  <si>
    <t>муниципальный округ Шувалово-Озерки</t>
  </si>
  <si>
    <t>40319000</t>
  </si>
  <si>
    <t>87</t>
  </si>
  <si>
    <t>муниципальный округ Юго-Запад</t>
  </si>
  <si>
    <t>40354000</t>
  </si>
  <si>
    <t>88</t>
  </si>
  <si>
    <t>муниципальный округ Южно-Приморский</t>
  </si>
  <si>
    <t>40355000</t>
  </si>
  <si>
    <t>89</t>
  </si>
  <si>
    <t>муниципальный округ Юнтолово</t>
  </si>
  <si>
    <t>40326000</t>
  </si>
  <si>
    <t>90</t>
  </si>
  <si>
    <t>муниципальный округ округ Петровский</t>
  </si>
  <si>
    <t>40393000</t>
  </si>
  <si>
    <t>91</t>
  </si>
  <si>
    <t>поселок Александровская</t>
  </si>
  <si>
    <t>40398000</t>
  </si>
  <si>
    <t>92</t>
  </si>
  <si>
    <t>поселок Белоостров</t>
  </si>
  <si>
    <t>40363000</t>
  </si>
  <si>
    <t>93</t>
  </si>
  <si>
    <t>поселок Комарово</t>
  </si>
  <si>
    <t>40364000</t>
  </si>
  <si>
    <t>94</t>
  </si>
  <si>
    <t>поселок Левашово</t>
  </si>
  <si>
    <t>40312000</t>
  </si>
  <si>
    <t>95</t>
  </si>
  <si>
    <t>поселок Лисий Нос</t>
  </si>
  <si>
    <t>40320000</t>
  </si>
  <si>
    <t>96</t>
  </si>
  <si>
    <t>поселок Металлострой</t>
  </si>
  <si>
    <t>40343000</t>
  </si>
  <si>
    <t>97</t>
  </si>
  <si>
    <t>поселок Молодежное</t>
  </si>
  <si>
    <t>40365000</t>
  </si>
  <si>
    <t>98</t>
  </si>
  <si>
    <t>поселок Парголово</t>
  </si>
  <si>
    <t>40313000</t>
  </si>
  <si>
    <t>99</t>
  </si>
  <si>
    <t>поселок Песочный</t>
  </si>
  <si>
    <t>40366000</t>
  </si>
  <si>
    <t>100</t>
  </si>
  <si>
    <t>поселок Петро-Славянка</t>
  </si>
  <si>
    <t>40344000</t>
  </si>
  <si>
    <t>101</t>
  </si>
  <si>
    <t>поселок Понтонный</t>
  </si>
  <si>
    <t>40345000</t>
  </si>
  <si>
    <t>102</t>
  </si>
  <si>
    <t>поселок Репино</t>
  </si>
  <si>
    <t>40367000</t>
  </si>
  <si>
    <t>103</t>
  </si>
  <si>
    <t>поселок Саперный</t>
  </si>
  <si>
    <t>40346000</t>
  </si>
  <si>
    <t>104</t>
  </si>
  <si>
    <t>поселок Серово</t>
  </si>
  <si>
    <t>40368000</t>
  </si>
  <si>
    <t>105</t>
  </si>
  <si>
    <t>поселок Смолячково</t>
  </si>
  <si>
    <t>40369000</t>
  </si>
  <si>
    <t>106</t>
  </si>
  <si>
    <t>поселок Солнечное</t>
  </si>
  <si>
    <t>40370000</t>
  </si>
  <si>
    <t>107</t>
  </si>
  <si>
    <t>поселок Стрельна</t>
  </si>
  <si>
    <t>40396000</t>
  </si>
  <si>
    <t>108</t>
  </si>
  <si>
    <t>поселок Тярлево</t>
  </si>
  <si>
    <t>40388000</t>
  </si>
  <si>
    <t>109</t>
  </si>
  <si>
    <t>поселок Усть-Ижора</t>
  </si>
  <si>
    <t>40347000</t>
  </si>
  <si>
    <t>110</t>
  </si>
  <si>
    <t>поселок Ушково</t>
  </si>
  <si>
    <t>40371000</t>
  </si>
  <si>
    <t>111</t>
  </si>
  <si>
    <t>поселок Шушары</t>
  </si>
  <si>
    <t>40901000</t>
  </si>
  <si>
    <t>112</t>
  </si>
  <si>
    <t>NUMBER_POINT</t>
  </si>
  <si>
    <t>INVP_NAME</t>
  </si>
  <si>
    <t>INVP_ID</t>
  </si>
  <si>
    <t>L_START_DATE</t>
  </si>
  <si>
    <t>L_END_DATE</t>
  </si>
  <si>
    <t>L_DECISION_NAME</t>
  </si>
  <si>
    <t>L_DECISION_TYPE</t>
  </si>
  <si>
    <t>L_DECISION_NMBR</t>
  </si>
  <si>
    <t>L_DECISION_DATE</t>
  </si>
  <si>
    <t>Инвестиционная программа от 08.12.2023 ООО "ИТЭ" в сфере теплоснабжения по комплексному развитию систем теплоснабжения на 2024 год</t>
  </si>
  <si>
    <t>01.01.2024</t>
  </si>
  <si>
    <t>31.12.2024</t>
  </si>
  <si>
    <t>Инвестиционная программа от 13.10.2023 ООО "ТСК" в сфере теплоснабжения по реконструкции систем инженерной инфраструктуры на 2024-2025 годы</t>
  </si>
  <si>
    <t>31.12.2025</t>
  </si>
  <si>
    <t>Инвестиционная программа от 19.11.2021 ООО "ГЕНЕРИРУЮЩАЯ КОМПАНИЯ "ОБУХОВОЭНЕРГО" в сфере теплоснабжения по комплексному развитию систем теплоснабжения на 2022-2025 годы</t>
  </si>
  <si>
    <t>01.01.2022</t>
  </si>
  <si>
    <t>Инвестиционная программа от 30.10.2020 ООО "ТСК" в сфере теплоснабжения по реконструкции объектов тепловой сети на 2021 год</t>
  </si>
  <si>
    <t>01.01.2021</t>
  </si>
  <si>
    <t>31.12.2021</t>
  </si>
  <si>
    <t>Инвестиционная программа от 30.10.2023 АО "ГСР ТЭЦ" в сфере теплоснабжения по комплексному развитию системы теплоснабжения на 2024-2027 годы</t>
  </si>
  <si>
    <t>31.12.2027</t>
  </si>
  <si>
    <t>Инвестиционная программа от 30.10.2023 АО "ГСР ТЭЦ" в сфере теплоснабжения по комплексному развитию системы теплоснабжения на 2024-2028 годы</t>
  </si>
  <si>
    <t>31.12.2028</t>
  </si>
  <si>
    <t>Инвестиционная программа от 30.10.2023 АО "Теплосеть Санкт-Петербурга" в сфере теплоснабжения по комплексному развитию систем теплоснабжения на 2024-2028 годы</t>
  </si>
  <si>
    <t>Инвестиционная программа от 30.10.2023 АО "Юго-Западная ТЭЦ" в сфере теплоснабжения по развитию и модернизации системы теплоснабжения на 2024-2028 годы</t>
  </si>
  <si>
    <t>Инвестиционная программа от 30.10.2023 ГУП "ТЭК СПб" в сфере теплоснабжения по комплексному развитию систем теплоснабжения на 2024-2028 годы</t>
  </si>
  <si>
    <t>Инвестиционная программа от 30.10.2023 ООО "Петербургтеплоэнерго" в сфере теплоснабжения по комплексному развитию систем теплоснабжения на 2024-2028 годы</t>
  </si>
  <si>
    <t>Инвестиционная программа от 30.10.2023 ПАО "ТГК-1" филиал "Невский" в сфере теплоснабжения по комплексному развитию систем теплоснабжения на 2024-2028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</si>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</sst>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5672">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13" borderId="3" xfId="0" applyNumberFormat="1" applyFont="1" applyFill="1" applyBorder="1" applyAlignment="1">
      <alignment horizontal="lef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49" fontId="0" fillId="0" borderId="10"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0" fillId="12" borderId="3" xfId="0" applyNumberFormat="1" applyFont="1" applyFill="1" applyBorder="1" applyAlignment="1" applyProtection="1">
      <alignment horizontal="left" vertical="center" wrapText="1"/>
      <protection locked="0"/>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0" fontId="11" fillId="0" borderId="0" xfId="0" applyNumberFormat="1" applyFont="1" applyAlignment="1"/>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10" xfId="13" applyNumberFormat="1" applyFont="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6" xfId="13" applyNumberFormat="1" applyFont="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18"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18" xfId="13" applyNumberFormat="1" applyFont="1" applyFill="1" applyBorder="1" applyAlignment="1">
      <alignment horizontal="center" vertical="center" wrapText="1"/>
    </xf>
    <xf numFmtId="49" fontId="5" fillId="10" borderId="18" xfId="13" applyNumberFormat="1" applyFont="1" applyFill="1" applyBorder="1" applyAlignment="1">
      <alignment horizontal="center" vertical="center" wrapText="1"/>
    </xf>
    <xf numFmtId="49" fontId="5" fillId="10" borderId="18"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8" xfId="0" applyNumberFormat="1" applyFont="1" applyFill="1" applyBorder="1" applyAlignment="1">
      <alignment horizontal="left" vertical="top" wrapText="1"/>
    </xf>
    <xf numFmtId="0" fontId="5" fillId="13" borderId="27" xfId="0" applyNumberFormat="1" applyFont="1" applyFill="1" applyBorder="1" applyAlignment="1">
      <alignment horizontal="left" vertical="top" wrapText="1"/>
    </xf>
    <xf numFmtId="0" fontId="5" fillId="13" borderId="14" xfId="0" applyNumberFormat="1" applyFont="1" applyFill="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49" fontId="0" fillId="0" borderId="27" xfId="0" applyNumberFormat="1" applyFont="1" applyBorder="1">
      <alignment vertical="top"/>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0" xfId="13"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0" borderId="3" xfId="13"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17" fillId="0" borderId="0" xfId="0" applyNumberFormat="1" applyFont="1" applyAlignment="1">
      <alignment horizontal="center" vertical="center" wrapText="1"/>
    </xf>
    <xf numFmtId="49" fontId="5" fillId="13" borderId="3" xfId="13" applyNumberFormat="1" applyFont="1" applyFill="1" applyBorder="1" applyAlignment="1">
      <alignment horizontal="center" vertical="center" wrapText="1"/>
    </xf>
    <xf numFmtId="0" fontId="18"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49" fontId="28" fillId="0" borderId="3" xfId="13" applyNumberFormat="1" applyFont="1" applyBorder="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29" fillId="0" borderId="4" xfId="13"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0" fontId="5" fillId="13" borderId="11" xfId="13"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5" fillId="0" borderId="0" xfId="0" applyNumberFormat="1" applyFont="1" applyAlignment="1">
      <alignmen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0" fontId="20" fillId="0" borderId="0" xfId="0" applyNumberFormat="1" applyFont="1" applyAlignment="1">
      <alignment vertical="center"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5" fillId="0" borderId="27" xfId="0" applyNumberFormat="1" applyFont="1" applyBorder="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hyperlink" Target="mailto:Voropaeva.UA@tgc1.ru" TargetMode="External"/><Relationship Id="rId2" Type="http://schemas.openxmlformats.org/officeDocument/2006/relationships/hyperlink" Target="http://publication.pravo.gov.ru/document/7801202407010029" TargetMode="External"/><Relationship Id="rId1" Type="http://schemas.openxmlformats.org/officeDocument/2006/relationships/hyperlink" Target="https://www.gov.spb.ru/static/writable/documents/2023/12/22/%D0%BE%D1%82_20.12.2023__262-%D1%80.pdf"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0d03c77e-d1b9-40f4-bc05-e71b03037a3f" TargetMode="External"/><Relationship Id="rId2" Type="http://schemas.openxmlformats.org/officeDocument/2006/relationships/hyperlink" Target="https://portal.eias.ru/Portal/DownloadPage.aspx?type=12&amp;guid=0281516b-f62e-4360-8f84-a221164a24e0" TargetMode="External"/><Relationship Id="rId1" Type="http://schemas.openxmlformats.org/officeDocument/2006/relationships/hyperlink" Target="http://www.tgc1.ru/clients/spb/enterprises/connect/"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08d9c885-587f-4b8a-8dc2-93d0608eec16"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465" customWidth="1"/>
    <col min="2" max="2" width="9.140625" style="2465" customWidth="1"/>
    <col min="3" max="3" width="16.42578125" style="2465" customWidth="1"/>
    <col min="4" max="25" width="6.28515625" style="2465" customWidth="1"/>
    <col min="26" max="28" width="11" style="2465"/>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5208" t="s">
        <v>1</v>
      </c>
      <c r="C2" s="5208"/>
      <c r="D2" s="5208"/>
      <c r="E2" s="5208"/>
      <c r="F2" s="5208"/>
      <c r="G2" s="5208"/>
      <c r="H2" s="5208"/>
      <c r="I2" s="5208"/>
      <c r="J2" s="5208"/>
      <c r="K2" s="5208"/>
      <c r="L2" s="5208"/>
      <c r="M2" s="5208"/>
      <c r="N2" s="5208"/>
      <c r="O2" s="5208"/>
      <c r="P2" s="5208"/>
      <c r="Q2" s="1630"/>
      <c r="R2" s="1630"/>
      <c r="S2" s="1630"/>
      <c r="T2" s="1630"/>
      <c r="U2" s="1630"/>
      <c r="V2" s="1631"/>
      <c r="W2" s="1630"/>
      <c r="X2" s="1630"/>
      <c r="Y2" s="1628"/>
      <c r="Z2" s="1627"/>
      <c r="AA2" s="1629"/>
      <c r="AB2" s="1627"/>
    </row>
    <row r="3" spans="1:28" ht="15.75" customHeight="1">
      <c r="A3" s="1627"/>
      <c r="B3" s="5209" t="s">
        <v>2</v>
      </c>
      <c r="C3" s="5209"/>
      <c r="D3" s="5209"/>
      <c r="E3" s="5209"/>
      <c r="F3" s="5209"/>
      <c r="G3" s="5209"/>
      <c r="H3" s="5209"/>
      <c r="I3" s="5209"/>
      <c r="J3" s="5209"/>
      <c r="K3" s="5209"/>
      <c r="L3" s="5209"/>
      <c r="M3" s="5209"/>
      <c r="N3" s="5209"/>
      <c r="O3" s="5209"/>
      <c r="P3" s="5209"/>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5210"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5211"/>
      <c r="D5" s="5211"/>
      <c r="E5" s="5211"/>
      <c r="F5" s="5211"/>
      <c r="G5" s="5211"/>
      <c r="H5" s="5211"/>
      <c r="I5" s="5211"/>
      <c r="J5" s="5211"/>
      <c r="K5" s="5211"/>
      <c r="L5" s="5211"/>
      <c r="M5" s="5211"/>
      <c r="N5" s="5211"/>
      <c r="O5" s="5211"/>
      <c r="P5" s="5211"/>
      <c r="Q5" s="5211"/>
      <c r="R5" s="5211"/>
      <c r="S5" s="5211"/>
      <c r="T5" s="5211"/>
      <c r="U5" s="5211"/>
      <c r="V5" s="5211"/>
      <c r="W5" s="5211"/>
      <c r="X5" s="5211"/>
      <c r="Y5" s="5212"/>
      <c r="Z5" s="1633"/>
      <c r="AA5" s="1629"/>
      <c r="AB5" s="1633"/>
    </row>
    <row r="6" spans="1:28" ht="15" customHeight="1">
      <c r="A6" s="1634"/>
      <c r="B6" s="5200" t="s">
        <v>3</v>
      </c>
      <c r="C6" s="5203"/>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5200"/>
      <c r="C7" s="5203"/>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5200"/>
      <c r="C8" s="5203"/>
      <c r="D8" s="1640"/>
      <c r="E8" s="1641" t="s">
        <v>4</v>
      </c>
      <c r="F8" s="5213" t="s">
        <v>5</v>
      </c>
      <c r="G8" s="5202"/>
      <c r="H8" s="5202"/>
      <c r="I8" s="5202"/>
      <c r="J8" s="5202"/>
      <c r="K8" s="5202"/>
      <c r="L8" s="5202"/>
      <c r="M8" s="5202"/>
      <c r="N8" s="1640"/>
      <c r="O8" s="1642" t="s">
        <v>4</v>
      </c>
      <c r="P8" s="5214" t="s">
        <v>6</v>
      </c>
      <c r="Q8" s="5215"/>
      <c r="R8" s="5215"/>
      <c r="S8" s="5215"/>
      <c r="T8" s="5215"/>
      <c r="U8" s="5215"/>
      <c r="V8" s="5215"/>
      <c r="W8" s="5215"/>
      <c r="X8" s="5215"/>
      <c r="Y8" s="1636"/>
      <c r="Z8" s="1637"/>
      <c r="AA8" s="1638"/>
      <c r="AB8" s="1638"/>
    </row>
    <row r="9" spans="1:28" ht="15" customHeight="1">
      <c r="A9" s="1634"/>
      <c r="B9" s="5200"/>
      <c r="C9" s="5203"/>
      <c r="D9" s="1640"/>
      <c r="E9" s="1643" t="s">
        <v>4</v>
      </c>
      <c r="F9" s="5213" t="s">
        <v>7</v>
      </c>
      <c r="G9" s="5202"/>
      <c r="H9" s="5202"/>
      <c r="I9" s="5202"/>
      <c r="J9" s="5202"/>
      <c r="K9" s="5202"/>
      <c r="L9" s="5202"/>
      <c r="M9" s="5202"/>
      <c r="N9" s="1640"/>
      <c r="O9" s="1644" t="s">
        <v>4</v>
      </c>
      <c r="P9" s="5214" t="s">
        <v>8</v>
      </c>
      <c r="Q9" s="5215"/>
      <c r="R9" s="5215"/>
      <c r="S9" s="5215"/>
      <c r="T9" s="5215"/>
      <c r="U9" s="5215"/>
      <c r="V9" s="5215"/>
      <c r="W9" s="5215"/>
      <c r="X9" s="5215"/>
      <c r="Y9" s="1636"/>
      <c r="Z9" s="1637"/>
      <c r="AA9" s="1638"/>
      <c r="AB9" s="1638"/>
    </row>
    <row r="10" spans="1:28" ht="30" customHeight="1">
      <c r="A10" s="1634"/>
      <c r="B10" s="5200"/>
      <c r="C10" s="5201"/>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1" t="s">
        <v>9</v>
      </c>
      <c r="C11" s="5199"/>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5200"/>
      <c r="C12" s="5201"/>
      <c r="D12" s="1648"/>
      <c r="E12" s="5202" t="s">
        <v>10</v>
      </c>
      <c r="F12" s="5202"/>
      <c r="G12" s="5202"/>
      <c r="H12" s="5202"/>
      <c r="I12" s="5202"/>
      <c r="J12" s="5202"/>
      <c r="K12" s="5202"/>
      <c r="L12" s="5202"/>
      <c r="M12" s="5202"/>
      <c r="N12" s="5202"/>
      <c r="O12" s="5202"/>
      <c r="P12" s="5202"/>
      <c r="Q12" s="5202"/>
      <c r="R12" s="5202"/>
      <c r="S12" s="5202"/>
      <c r="T12" s="5202"/>
      <c r="U12" s="5202"/>
      <c r="V12" s="5202"/>
      <c r="W12" s="5202"/>
      <c r="X12" s="5202"/>
      <c r="Y12" s="1636"/>
      <c r="Z12" s="1637"/>
      <c r="AA12" s="1638"/>
      <c r="AB12" s="1638"/>
    </row>
    <row r="13" spans="1:28" ht="15" customHeight="1">
      <c r="A13" s="1634"/>
      <c r="B13" s="1" t="s">
        <v>11</v>
      </c>
      <c r="C13" s="5199"/>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5200"/>
      <c r="C14" s="5203"/>
      <c r="D14" s="1640"/>
      <c r="E14" s="5206" t="s">
        <v>12</v>
      </c>
      <c r="F14" s="5206"/>
      <c r="G14" s="5206"/>
      <c r="H14" s="5206"/>
      <c r="I14" s="5206"/>
      <c r="J14" s="5206"/>
      <c r="K14" s="5206"/>
      <c r="L14" s="5206"/>
      <c r="M14" s="5206"/>
      <c r="N14" s="5206"/>
      <c r="O14" s="5206"/>
      <c r="P14" s="5206"/>
      <c r="Q14" s="5206"/>
      <c r="R14" s="5206"/>
      <c r="S14" s="5206"/>
      <c r="T14" s="5206"/>
      <c r="U14" s="5206"/>
      <c r="V14" s="5206"/>
      <c r="W14" s="5206"/>
      <c r="X14" s="5206"/>
      <c r="Y14" s="1636"/>
      <c r="Z14" s="1637"/>
      <c r="AA14" s="1638"/>
      <c r="AB14" s="1638"/>
    </row>
    <row r="15" spans="1:28" ht="16.5" customHeight="1">
      <c r="A15" s="1634"/>
      <c r="B15" s="5204"/>
      <c r="C15" s="5205"/>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5206"/>
      <c r="C16" s="5207"/>
      <c r="D16" s="5207"/>
      <c r="E16" s="5207"/>
      <c r="F16" s="5207"/>
      <c r="G16" s="5207"/>
      <c r="H16" s="5207"/>
      <c r="I16" s="5207"/>
      <c r="J16" s="5207"/>
      <c r="K16" s="5207"/>
      <c r="L16" s="5207"/>
      <c r="M16" s="5207"/>
      <c r="N16" s="5207"/>
      <c r="O16" s="5207"/>
      <c r="P16" s="5207"/>
      <c r="Q16" s="5207"/>
      <c r="R16" s="5207"/>
      <c r="S16" s="5207"/>
      <c r="T16" s="5207"/>
      <c r="U16" s="5207"/>
      <c r="V16" s="5207"/>
      <c r="W16" s="5207"/>
      <c r="X16" s="5207"/>
      <c r="Y16" s="5207"/>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85</v>
      </c>
      <c r="H1" s="425" t="s">
        <v>86</v>
      </c>
      <c r="I1" s="425" t="s">
        <v>87</v>
      </c>
      <c r="P1" s="425" t="s">
        <v>85</v>
      </c>
      <c r="Q1" s="425" t="s">
        <v>86</v>
      </c>
      <c r="R1" s="425" t="s">
        <v>87</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5228" t="s">
        <v>415</v>
      </c>
      <c r="F4" s="5228"/>
      <c r="G4" s="5229"/>
      <c r="H4" s="5229"/>
      <c r="I4" s="5230"/>
      <c r="J4" s="427"/>
      <c r="K4" s="389"/>
      <c r="L4" s="389"/>
      <c r="W4" s="383">
        <v>22</v>
      </c>
    </row>
    <row r="5" spans="1:23" s="1561" customFormat="1" ht="18" customHeight="1">
      <c r="A5" s="693"/>
      <c r="D5" s="752"/>
      <c r="E5" s="5353" t="str">
        <f>IF(org=0,"Не определено",org)</f>
        <v>ПАО "ТГК-1" филиал "Невский"</v>
      </c>
      <c r="F5" s="5353"/>
      <c r="G5" s="5354"/>
      <c r="H5" s="5354"/>
      <c r="I5" s="5355"/>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5338" t="s">
        <v>327</v>
      </c>
      <c r="F7" s="5338"/>
      <c r="G7" s="5339"/>
      <c r="H7" s="5339"/>
      <c r="I7" s="5339"/>
      <c r="J7" s="5339"/>
      <c r="K7" s="5339"/>
      <c r="L7" s="5300" t="s">
        <v>328</v>
      </c>
      <c r="W7" s="383">
        <v>14</v>
      </c>
    </row>
    <row r="8" spans="1:23" ht="48.2" customHeight="1">
      <c r="D8" s="386"/>
      <c r="E8" s="409" t="s">
        <v>90</v>
      </c>
      <c r="F8" s="753"/>
      <c r="G8" s="401" t="s">
        <v>88</v>
      </c>
      <c r="H8" s="401" t="s">
        <v>89</v>
      </c>
      <c r="I8" s="350" t="s">
        <v>87</v>
      </c>
      <c r="J8" s="350" t="s">
        <v>416</v>
      </c>
      <c r="K8" s="350" t="s">
        <v>417</v>
      </c>
      <c r="L8" s="5300"/>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5351" t="s">
        <v>418</v>
      </c>
      <c r="M10" s="443"/>
      <c r="N10" s="441"/>
      <c r="O10" s="441"/>
      <c r="P10" s="441"/>
      <c r="Q10" s="441"/>
      <c r="R10" s="441"/>
      <c r="S10" s="441"/>
      <c r="T10" s="441"/>
      <c r="U10" s="441"/>
      <c r="V10" s="441"/>
      <c r="W10" s="383">
        <v>0</v>
      </c>
    </row>
    <row r="11" spans="1:23" ht="15" hidden="1" customHeight="1">
      <c r="A11" s="5220"/>
      <c r="B11" s="440"/>
      <c r="C11" s="440"/>
      <c r="D11" s="795"/>
      <c r="E11" s="449"/>
      <c r="F11" s="449"/>
      <c r="G11" s="449"/>
      <c r="H11" s="449"/>
      <c r="I11" s="450"/>
      <c r="J11" s="451"/>
      <c r="K11" s="649"/>
      <c r="L11" s="5365"/>
      <c r="M11" s="447"/>
      <c r="N11" s="447"/>
      <c r="O11" s="447"/>
      <c r="P11" s="452"/>
      <c r="Q11" s="452"/>
      <c r="R11" s="453"/>
      <c r="S11" s="447"/>
      <c r="T11" s="447"/>
      <c r="U11" s="447"/>
      <c r="V11" s="447"/>
      <c r="W11" s="383">
        <v>0</v>
      </c>
    </row>
    <row r="12" spans="1:23" s="1538" customFormat="1" ht="15" customHeight="1">
      <c r="A12" s="5220"/>
      <c r="B12" s="440"/>
      <c r="C12" s="440"/>
      <c r="D12" s="796"/>
      <c r="E12" s="753">
        <v>1</v>
      </c>
      <c r="F12" s="794">
        <v>23</v>
      </c>
      <c r="G12" s="793"/>
      <c r="H12" s="723"/>
      <c r="I12" s="721"/>
      <c r="J12" s="456" t="s">
        <v>65</v>
      </c>
      <c r="K12" s="1090" t="s">
        <v>28</v>
      </c>
      <c r="L12" s="5365"/>
      <c r="M12" s="447"/>
      <c r="N12" s="447"/>
      <c r="O12" s="447"/>
      <c r="P12" s="452" t="s">
        <v>419</v>
      </c>
      <c r="Q12" s="452" t="s">
        <v>420</v>
      </c>
      <c r="R12" s="453" t="s">
        <v>421</v>
      </c>
      <c r="S12" s="447" t="s">
        <v>422</v>
      </c>
      <c r="T12" s="447"/>
      <c r="U12" s="447"/>
      <c r="V12" s="447"/>
      <c r="W12" s="416">
        <v>14</v>
      </c>
    </row>
    <row r="13" spans="1:23" ht="15.75" customHeight="1">
      <c r="A13" s="5220"/>
      <c r="B13" s="441"/>
      <c r="D13" s="442"/>
      <c r="E13" s="341"/>
      <c r="F13" s="465"/>
      <c r="G13" s="352" t="s">
        <v>104</v>
      </c>
      <c r="H13" s="340"/>
      <c r="I13" s="340"/>
      <c r="J13" s="340"/>
      <c r="K13" s="339"/>
      <c r="L13" s="5352"/>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M115"/>
  <sheetViews>
    <sheetView showGridLines="0" zoomScale="80" workbookViewId="0">
      <pane xSplit="29" ySplit="42" topLeftCell="AD91" activePane="bottomRight" state="frozen"/>
      <selection pane="topRight" activeCell="AD1" sqref="AD1"/>
      <selection pane="bottomLeft" activeCell="A43" sqref="A43"/>
      <selection pane="bottomRight" activeCell="T110" sqref="T110:DG110"/>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customWidth="1"/>
    <col min="109" max="109" width="10.5703125" style="4" hidden="1"/>
    <col min="110" max="110" width="4" style="1561" customWidth="1"/>
    <col min="111" max="111" width="115" style="1561" customWidth="1"/>
    <col min="112" max="116" width="10" style="1568" customWidth="1"/>
    <col min="117" max="117" width="10.5703125" style="1561" hidden="1"/>
  </cols>
  <sheetData>
    <row r="1" spans="1:117" ht="22.5" hidden="1" customHeight="1">
      <c r="Y1" s="264"/>
      <c r="Z1" s="264"/>
      <c r="AG1" s="264"/>
      <c r="AH1" s="264"/>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BZ1" s="1561"/>
      <c r="CA1" s="1561"/>
      <c r="CB1" s="1561"/>
      <c r="CC1" s="1561"/>
      <c r="CD1" s="1561"/>
      <c r="CE1" s="1561"/>
      <c r="CF1" s="1561"/>
      <c r="CG1" s="1561"/>
      <c r="CH1" s="1561"/>
      <c r="CI1" s="1561"/>
      <c r="CJ1" s="1561"/>
      <c r="CK1" s="1561"/>
      <c r="CL1" s="1561"/>
      <c r="CM1" s="1561"/>
      <c r="CN1" s="1561"/>
      <c r="CO1" s="1561"/>
      <c r="CP1" s="1561"/>
      <c r="CQ1" s="1561"/>
      <c r="CR1" s="1561"/>
      <c r="CS1" s="1561"/>
      <c r="CT1" s="1561"/>
      <c r="CU1" s="1561"/>
      <c r="CV1" s="1561"/>
      <c r="CW1" s="1561"/>
      <c r="CX1" s="1561"/>
      <c r="CY1" s="1561"/>
      <c r="CZ1" s="1561"/>
      <c r="DA1" s="1561"/>
      <c r="DB1" s="1561"/>
      <c r="DC1" s="1561"/>
      <c r="DD1" s="1561"/>
      <c r="DE1" s="5155"/>
      <c r="DM1" s="1081" t="s">
        <v>14</v>
      </c>
    </row>
    <row r="2" spans="1:117" ht="21" hidden="1" customHeight="1">
      <c r="A2" s="1289"/>
      <c r="B2" s="1289"/>
      <c r="C2" s="1289"/>
      <c r="D2" s="1289"/>
      <c r="E2" s="5381">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5373"/>
      <c r="W2" s="5374"/>
      <c r="X2" s="5374"/>
      <c r="Y2" s="5374"/>
      <c r="Z2" s="5374"/>
      <c r="AA2" s="5374"/>
      <c r="AB2" s="5374"/>
      <c r="AC2" s="5375"/>
      <c r="AD2" s="5373" t="e">
        <f>INDEX(PT_DIFFERENTIATION_NTAR,MATCH(A2,PT_DIFFERENTIATION_NTAR_ID,0))</f>
        <v>#N/A</v>
      </c>
      <c r="AE2" s="5374"/>
      <c r="AF2" s="5374"/>
      <c r="AG2" s="5374"/>
      <c r="AH2" s="5374"/>
      <c r="AI2" s="5374"/>
      <c r="AJ2" s="5374"/>
      <c r="AK2" s="5374"/>
      <c r="AL2" s="5373"/>
      <c r="AM2" s="5374"/>
      <c r="AN2" s="5374"/>
      <c r="AO2" s="5374"/>
      <c r="AP2" s="5374"/>
      <c r="AQ2" s="5374"/>
      <c r="AR2" s="5374"/>
      <c r="AS2" s="5375"/>
      <c r="AT2" s="5373"/>
      <c r="AU2" s="5374"/>
      <c r="AV2" s="5374"/>
      <c r="AW2" s="5374"/>
      <c r="AX2" s="5374"/>
      <c r="AY2" s="5374"/>
      <c r="AZ2" s="5374"/>
      <c r="BA2" s="5375"/>
      <c r="BB2" s="5373"/>
      <c r="BC2" s="5374"/>
      <c r="BD2" s="5374"/>
      <c r="BE2" s="5374"/>
      <c r="BF2" s="5374"/>
      <c r="BG2" s="5374"/>
      <c r="BH2" s="5374"/>
      <c r="BI2" s="5375"/>
      <c r="BJ2" s="5373"/>
      <c r="BK2" s="5374"/>
      <c r="BL2" s="5374"/>
      <c r="BM2" s="5374"/>
      <c r="BN2" s="5374"/>
      <c r="BO2" s="5374"/>
      <c r="BP2" s="5374"/>
      <c r="BQ2" s="5375"/>
      <c r="BR2" s="5373"/>
      <c r="BS2" s="5374"/>
      <c r="BT2" s="5374"/>
      <c r="BU2" s="5374"/>
      <c r="BV2" s="5374"/>
      <c r="BW2" s="5374"/>
      <c r="BX2" s="5374"/>
      <c r="BY2" s="5375"/>
      <c r="BZ2" s="5373"/>
      <c r="CA2" s="5374"/>
      <c r="CB2" s="5374"/>
      <c r="CC2" s="5374"/>
      <c r="CD2" s="5374"/>
      <c r="CE2" s="5374"/>
      <c r="CF2" s="5374"/>
      <c r="CG2" s="5375"/>
      <c r="CH2" s="5373"/>
      <c r="CI2" s="5374"/>
      <c r="CJ2" s="5374"/>
      <c r="CK2" s="5374"/>
      <c r="CL2" s="5374"/>
      <c r="CM2" s="5374"/>
      <c r="CN2" s="5374"/>
      <c r="CO2" s="5375"/>
      <c r="CP2" s="5373"/>
      <c r="CQ2" s="5374"/>
      <c r="CR2" s="5374"/>
      <c r="CS2" s="5374"/>
      <c r="CT2" s="5374"/>
      <c r="CU2" s="5374"/>
      <c r="CV2" s="5374"/>
      <c r="CW2" s="5375"/>
      <c r="CX2" s="5373"/>
      <c r="CY2" s="5374"/>
      <c r="CZ2" s="5374"/>
      <c r="DA2" s="5374"/>
      <c r="DB2" s="5374"/>
      <c r="DC2" s="5374"/>
      <c r="DD2" s="5374"/>
      <c r="DE2" s="5376"/>
      <c r="DF2" s="5375"/>
      <c r="DG2" s="1184" t="s">
        <v>423</v>
      </c>
      <c r="DI2" s="436"/>
      <c r="DJ2" s="436" t="str">
        <f t="shared" ref="DJ2:DJ15" si="0">IF(T2="","",T2)</f>
        <v>Наименование тарифа</v>
      </c>
      <c r="DK2" s="436"/>
      <c r="DL2" s="436"/>
      <c r="DM2" s="1081">
        <v>0</v>
      </c>
    </row>
    <row r="3" spans="1:117" ht="21" hidden="1" customHeight="1">
      <c r="A3" s="1289"/>
      <c r="B3" s="1289"/>
      <c r="C3" s="1289"/>
      <c r="D3" s="1289"/>
      <c r="E3" s="5382"/>
      <c r="F3" s="5381">
        <v>1</v>
      </c>
      <c r="G3" s="1289"/>
      <c r="H3" s="1289"/>
      <c r="I3" s="1289"/>
      <c r="J3" s="1289"/>
      <c r="K3" s="1289"/>
      <c r="L3" s="1290"/>
      <c r="M3" s="1291"/>
      <c r="N3" s="1291"/>
      <c r="O3" s="1291"/>
      <c r="P3" s="1230"/>
      <c r="Q3" s="288"/>
      <c r="R3" s="289"/>
      <c r="S3" s="1235" t="e">
        <f>INDEX(PT_DIFFERENTIATION_NUM_TER,MATCH(B3,PT_DIFFERENTIATION_TER_ID,0))</f>
        <v>#N/A</v>
      </c>
      <c r="T3" s="245" t="s">
        <v>424</v>
      </c>
      <c r="U3" s="237"/>
      <c r="V3" s="5373"/>
      <c r="W3" s="5374"/>
      <c r="X3" s="5374"/>
      <c r="Y3" s="5374"/>
      <c r="Z3" s="5374"/>
      <c r="AA3" s="5374"/>
      <c r="AB3" s="5374"/>
      <c r="AC3" s="5375"/>
      <c r="AD3" s="5373" t="e">
        <f>INDEX(PT_DIFFERENTIATION_TER,MATCH(B3,PT_DIFFERENTIATION_TER_ID,0))</f>
        <v>#N/A</v>
      </c>
      <c r="AE3" s="5374"/>
      <c r="AF3" s="5374"/>
      <c r="AG3" s="5374"/>
      <c r="AH3" s="5374"/>
      <c r="AI3" s="5374"/>
      <c r="AJ3" s="5374"/>
      <c r="AK3" s="5374"/>
      <c r="AL3" s="5373"/>
      <c r="AM3" s="5374"/>
      <c r="AN3" s="5374"/>
      <c r="AO3" s="5374"/>
      <c r="AP3" s="5374"/>
      <c r="AQ3" s="5374"/>
      <c r="AR3" s="5374"/>
      <c r="AS3" s="5375"/>
      <c r="AT3" s="5373"/>
      <c r="AU3" s="5374"/>
      <c r="AV3" s="5374"/>
      <c r="AW3" s="5374"/>
      <c r="AX3" s="5374"/>
      <c r="AY3" s="5374"/>
      <c r="AZ3" s="5374"/>
      <c r="BA3" s="5375"/>
      <c r="BB3" s="5373"/>
      <c r="BC3" s="5374"/>
      <c r="BD3" s="5374"/>
      <c r="BE3" s="5374"/>
      <c r="BF3" s="5374"/>
      <c r="BG3" s="5374"/>
      <c r="BH3" s="5374"/>
      <c r="BI3" s="5375"/>
      <c r="BJ3" s="5373"/>
      <c r="BK3" s="5374"/>
      <c r="BL3" s="5374"/>
      <c r="BM3" s="5374"/>
      <c r="BN3" s="5374"/>
      <c r="BO3" s="5374"/>
      <c r="BP3" s="5374"/>
      <c r="BQ3" s="5375"/>
      <c r="BR3" s="5373"/>
      <c r="BS3" s="5374"/>
      <c r="BT3" s="5374"/>
      <c r="BU3" s="5374"/>
      <c r="BV3" s="5374"/>
      <c r="BW3" s="5374"/>
      <c r="BX3" s="5374"/>
      <c r="BY3" s="5375"/>
      <c r="BZ3" s="5373"/>
      <c r="CA3" s="5374"/>
      <c r="CB3" s="5374"/>
      <c r="CC3" s="5374"/>
      <c r="CD3" s="5374"/>
      <c r="CE3" s="5374"/>
      <c r="CF3" s="5374"/>
      <c r="CG3" s="5375"/>
      <c r="CH3" s="5373"/>
      <c r="CI3" s="5374"/>
      <c r="CJ3" s="5374"/>
      <c r="CK3" s="5374"/>
      <c r="CL3" s="5374"/>
      <c r="CM3" s="5374"/>
      <c r="CN3" s="5374"/>
      <c r="CO3" s="5375"/>
      <c r="CP3" s="5373"/>
      <c r="CQ3" s="5374"/>
      <c r="CR3" s="5374"/>
      <c r="CS3" s="5374"/>
      <c r="CT3" s="5374"/>
      <c r="CU3" s="5374"/>
      <c r="CV3" s="5374"/>
      <c r="CW3" s="5375"/>
      <c r="CX3" s="5373"/>
      <c r="CY3" s="5374"/>
      <c r="CZ3" s="5374"/>
      <c r="DA3" s="5374"/>
      <c r="DB3" s="5374"/>
      <c r="DC3" s="5374"/>
      <c r="DD3" s="5374"/>
      <c r="DE3" s="5376"/>
      <c r="DF3" s="5375"/>
      <c r="DG3" s="1184" t="s">
        <v>425</v>
      </c>
      <c r="DI3" s="436"/>
      <c r="DJ3" s="436" t="str">
        <f t="shared" si="0"/>
        <v>Территория действия тарифа</v>
      </c>
      <c r="DK3" s="436"/>
      <c r="DL3" s="436"/>
      <c r="DM3" s="1081">
        <v>0</v>
      </c>
    </row>
    <row r="4" spans="1:117" ht="23.25" hidden="1" customHeight="1">
      <c r="A4" s="1289"/>
      <c r="B4" s="1289"/>
      <c r="C4" s="1289"/>
      <c r="D4" s="1289"/>
      <c r="E4" s="5382"/>
      <c r="F4" s="5382"/>
      <c r="G4" s="5381">
        <v>1</v>
      </c>
      <c r="H4" s="1289"/>
      <c r="I4" s="1289"/>
      <c r="J4" s="1289"/>
      <c r="K4" s="1289"/>
      <c r="L4" s="1290"/>
      <c r="M4" s="1291"/>
      <c r="N4" s="1291"/>
      <c r="O4" s="1291"/>
      <c r="P4" s="290"/>
      <c r="Q4" s="288"/>
      <c r="R4" s="289"/>
      <c r="S4" s="1235" t="e">
        <f>INDEX(PT_DIFFERENTIATION_NUM_CS,MATCH(C4,PT_DIFFERENTIATION_CS_ID,0))</f>
        <v>#N/A</v>
      </c>
      <c r="T4" s="246" t="s">
        <v>426</v>
      </c>
      <c r="U4" s="237"/>
      <c r="V4" s="5373"/>
      <c r="W4" s="5374"/>
      <c r="X4" s="5374"/>
      <c r="Y4" s="5374"/>
      <c r="Z4" s="5374"/>
      <c r="AA4" s="5374"/>
      <c r="AB4" s="5374"/>
      <c r="AC4" s="5375"/>
      <c r="AD4" s="5373" t="e">
        <f>INDEX(PT_DIFFERENTIATION_CS,MATCH(C4,PT_DIFFERENTIATION_CS_ID,0))</f>
        <v>#N/A</v>
      </c>
      <c r="AE4" s="5374"/>
      <c r="AF4" s="5374"/>
      <c r="AG4" s="5374"/>
      <c r="AH4" s="5374"/>
      <c r="AI4" s="5374"/>
      <c r="AJ4" s="5374"/>
      <c r="AK4" s="5374"/>
      <c r="AL4" s="5373"/>
      <c r="AM4" s="5374"/>
      <c r="AN4" s="5374"/>
      <c r="AO4" s="5374"/>
      <c r="AP4" s="5374"/>
      <c r="AQ4" s="5374"/>
      <c r="AR4" s="5374"/>
      <c r="AS4" s="5375"/>
      <c r="AT4" s="5373"/>
      <c r="AU4" s="5374"/>
      <c r="AV4" s="5374"/>
      <c r="AW4" s="5374"/>
      <c r="AX4" s="5374"/>
      <c r="AY4" s="5374"/>
      <c r="AZ4" s="5374"/>
      <c r="BA4" s="5375"/>
      <c r="BB4" s="5373"/>
      <c r="BC4" s="5374"/>
      <c r="BD4" s="5374"/>
      <c r="BE4" s="5374"/>
      <c r="BF4" s="5374"/>
      <c r="BG4" s="5374"/>
      <c r="BH4" s="5374"/>
      <c r="BI4" s="5375"/>
      <c r="BJ4" s="5373"/>
      <c r="BK4" s="5374"/>
      <c r="BL4" s="5374"/>
      <c r="BM4" s="5374"/>
      <c r="BN4" s="5374"/>
      <c r="BO4" s="5374"/>
      <c r="BP4" s="5374"/>
      <c r="BQ4" s="5375"/>
      <c r="BR4" s="5373"/>
      <c r="BS4" s="5374"/>
      <c r="BT4" s="5374"/>
      <c r="BU4" s="5374"/>
      <c r="BV4" s="5374"/>
      <c r="BW4" s="5374"/>
      <c r="BX4" s="5374"/>
      <c r="BY4" s="5375"/>
      <c r="BZ4" s="5373"/>
      <c r="CA4" s="5374"/>
      <c r="CB4" s="5374"/>
      <c r="CC4" s="5374"/>
      <c r="CD4" s="5374"/>
      <c r="CE4" s="5374"/>
      <c r="CF4" s="5374"/>
      <c r="CG4" s="5375"/>
      <c r="CH4" s="5373"/>
      <c r="CI4" s="5374"/>
      <c r="CJ4" s="5374"/>
      <c r="CK4" s="5374"/>
      <c r="CL4" s="5374"/>
      <c r="CM4" s="5374"/>
      <c r="CN4" s="5374"/>
      <c r="CO4" s="5375"/>
      <c r="CP4" s="5373"/>
      <c r="CQ4" s="5374"/>
      <c r="CR4" s="5374"/>
      <c r="CS4" s="5374"/>
      <c r="CT4" s="5374"/>
      <c r="CU4" s="5374"/>
      <c r="CV4" s="5374"/>
      <c r="CW4" s="5375"/>
      <c r="CX4" s="5373"/>
      <c r="CY4" s="5374"/>
      <c r="CZ4" s="5374"/>
      <c r="DA4" s="5374"/>
      <c r="DB4" s="5374"/>
      <c r="DC4" s="5374"/>
      <c r="DD4" s="5374"/>
      <c r="DE4" s="5376"/>
      <c r="DF4" s="5375"/>
      <c r="DG4" s="1184" t="s">
        <v>427</v>
      </c>
      <c r="DI4" s="436"/>
      <c r="DJ4" s="436" t="str">
        <f t="shared" si="0"/>
        <v xml:space="preserve">Наименование системы теплоснабжения </v>
      </c>
      <c r="DK4" s="436"/>
      <c r="DL4" s="436"/>
      <c r="DM4" s="1081">
        <v>0</v>
      </c>
    </row>
    <row r="5" spans="1:117" ht="21" hidden="1" customHeight="1">
      <c r="A5" s="1289"/>
      <c r="B5" s="1289"/>
      <c r="C5" s="1289"/>
      <c r="D5" s="1289"/>
      <c r="E5" s="5382"/>
      <c r="F5" s="5382"/>
      <c r="G5" s="5382"/>
      <c r="H5" s="5381">
        <v>1</v>
      </c>
      <c r="I5" s="1289"/>
      <c r="J5" s="1289"/>
      <c r="K5" s="1289"/>
      <c r="L5" s="1290"/>
      <c r="M5" s="1291"/>
      <c r="N5" s="1291"/>
      <c r="O5" s="1291"/>
      <c r="P5" s="290"/>
      <c r="Q5" s="288"/>
      <c r="R5" s="289"/>
      <c r="S5" s="1235" t="e">
        <f>INDEX(PT_DIFFERENTIATION_NUM_IST_TE,MATCH(D5,PT_DIFFERENTIATION_IST_TE_ID,0))</f>
        <v>#N/A</v>
      </c>
      <c r="T5" s="247" t="s">
        <v>428</v>
      </c>
      <c r="U5" s="237"/>
      <c r="V5" s="5373"/>
      <c r="W5" s="5374"/>
      <c r="X5" s="5374"/>
      <c r="Y5" s="5374"/>
      <c r="Z5" s="5374"/>
      <c r="AA5" s="5374"/>
      <c r="AB5" s="5374"/>
      <c r="AC5" s="5375"/>
      <c r="AD5" s="5373" t="e">
        <f>INDEX(PT_DIFFERENTIATION_IST_TE,MATCH(D5,PT_DIFFERENTIATION_IST_TE_ID,0))</f>
        <v>#N/A</v>
      </c>
      <c r="AE5" s="5374"/>
      <c r="AF5" s="5374"/>
      <c r="AG5" s="5374"/>
      <c r="AH5" s="5374"/>
      <c r="AI5" s="5374"/>
      <c r="AJ5" s="5374"/>
      <c r="AK5" s="5374"/>
      <c r="AL5" s="5373"/>
      <c r="AM5" s="5374"/>
      <c r="AN5" s="5374"/>
      <c r="AO5" s="5374"/>
      <c r="AP5" s="5374"/>
      <c r="AQ5" s="5374"/>
      <c r="AR5" s="5374"/>
      <c r="AS5" s="5375"/>
      <c r="AT5" s="5373"/>
      <c r="AU5" s="5374"/>
      <c r="AV5" s="5374"/>
      <c r="AW5" s="5374"/>
      <c r="AX5" s="5374"/>
      <c r="AY5" s="5374"/>
      <c r="AZ5" s="5374"/>
      <c r="BA5" s="5375"/>
      <c r="BB5" s="5373"/>
      <c r="BC5" s="5374"/>
      <c r="BD5" s="5374"/>
      <c r="BE5" s="5374"/>
      <c r="BF5" s="5374"/>
      <c r="BG5" s="5374"/>
      <c r="BH5" s="5374"/>
      <c r="BI5" s="5375"/>
      <c r="BJ5" s="5373"/>
      <c r="BK5" s="5374"/>
      <c r="BL5" s="5374"/>
      <c r="BM5" s="5374"/>
      <c r="BN5" s="5374"/>
      <c r="BO5" s="5374"/>
      <c r="BP5" s="5374"/>
      <c r="BQ5" s="5375"/>
      <c r="BR5" s="5373"/>
      <c r="BS5" s="5374"/>
      <c r="BT5" s="5374"/>
      <c r="BU5" s="5374"/>
      <c r="BV5" s="5374"/>
      <c r="BW5" s="5374"/>
      <c r="BX5" s="5374"/>
      <c r="BY5" s="5375"/>
      <c r="BZ5" s="5373"/>
      <c r="CA5" s="5374"/>
      <c r="CB5" s="5374"/>
      <c r="CC5" s="5374"/>
      <c r="CD5" s="5374"/>
      <c r="CE5" s="5374"/>
      <c r="CF5" s="5374"/>
      <c r="CG5" s="5375"/>
      <c r="CH5" s="5373"/>
      <c r="CI5" s="5374"/>
      <c r="CJ5" s="5374"/>
      <c r="CK5" s="5374"/>
      <c r="CL5" s="5374"/>
      <c r="CM5" s="5374"/>
      <c r="CN5" s="5374"/>
      <c r="CO5" s="5375"/>
      <c r="CP5" s="5373"/>
      <c r="CQ5" s="5374"/>
      <c r="CR5" s="5374"/>
      <c r="CS5" s="5374"/>
      <c r="CT5" s="5374"/>
      <c r="CU5" s="5374"/>
      <c r="CV5" s="5374"/>
      <c r="CW5" s="5375"/>
      <c r="CX5" s="5373"/>
      <c r="CY5" s="5374"/>
      <c r="CZ5" s="5374"/>
      <c r="DA5" s="5374"/>
      <c r="DB5" s="5374"/>
      <c r="DC5" s="5374"/>
      <c r="DD5" s="5374"/>
      <c r="DE5" s="5376"/>
      <c r="DF5" s="5375"/>
      <c r="DG5" s="1184" t="s">
        <v>429</v>
      </c>
      <c r="DI5" s="436"/>
      <c r="DJ5" s="436" t="str">
        <f t="shared" si="0"/>
        <v xml:space="preserve">Источник тепловой энергии  </v>
      </c>
      <c r="DK5" s="436"/>
      <c r="DL5" s="436"/>
      <c r="DM5" s="1081">
        <v>0</v>
      </c>
    </row>
    <row r="6" spans="1:117" ht="47.25" hidden="1" customHeight="1">
      <c r="A6" s="1289"/>
      <c r="B6" s="1289"/>
      <c r="C6" s="1289"/>
      <c r="D6" s="1289"/>
      <c r="E6" s="5382"/>
      <c r="F6" s="5382"/>
      <c r="G6" s="5382"/>
      <c r="H6" s="5382"/>
      <c r="I6" s="5383" t="e">
        <f>S5&amp;".1"</f>
        <v>#N/A</v>
      </c>
      <c r="J6" s="1289"/>
      <c r="K6" s="1289"/>
      <c r="L6" s="1290" t="s">
        <v>430</v>
      </c>
      <c r="M6" s="473"/>
      <c r="P6" s="5385">
        <v>1</v>
      </c>
      <c r="Q6" s="1231"/>
      <c r="R6" s="292"/>
      <c r="S6" s="1235" t="e">
        <f>$I6</f>
        <v>#N/A</v>
      </c>
      <c r="T6" s="222" t="s">
        <v>431</v>
      </c>
      <c r="U6" s="237"/>
      <c r="V6" s="5366"/>
      <c r="W6" s="5367"/>
      <c r="X6" s="5367"/>
      <c r="Y6" s="5367"/>
      <c r="Z6" s="5367"/>
      <c r="AA6" s="5367"/>
      <c r="AB6" s="5367"/>
      <c r="AC6" s="5368"/>
      <c r="AD6" s="5366"/>
      <c r="AE6" s="5367"/>
      <c r="AF6" s="5367"/>
      <c r="AG6" s="5367"/>
      <c r="AH6" s="5367"/>
      <c r="AI6" s="5367"/>
      <c r="AJ6" s="5367"/>
      <c r="AK6" s="5367"/>
      <c r="AL6" s="5366"/>
      <c r="AM6" s="5367"/>
      <c r="AN6" s="5367"/>
      <c r="AO6" s="5367"/>
      <c r="AP6" s="5367"/>
      <c r="AQ6" s="5367"/>
      <c r="AR6" s="5367"/>
      <c r="AS6" s="5368"/>
      <c r="AT6" s="5366"/>
      <c r="AU6" s="5367"/>
      <c r="AV6" s="5367"/>
      <c r="AW6" s="5367"/>
      <c r="AX6" s="5367"/>
      <c r="AY6" s="5367"/>
      <c r="AZ6" s="5367"/>
      <c r="BA6" s="5368"/>
      <c r="BB6" s="5366"/>
      <c r="BC6" s="5367"/>
      <c r="BD6" s="5367"/>
      <c r="BE6" s="5367"/>
      <c r="BF6" s="5367"/>
      <c r="BG6" s="5367"/>
      <c r="BH6" s="5367"/>
      <c r="BI6" s="5368"/>
      <c r="BJ6" s="5366"/>
      <c r="BK6" s="5367"/>
      <c r="BL6" s="5367"/>
      <c r="BM6" s="5367"/>
      <c r="BN6" s="5367"/>
      <c r="BO6" s="5367"/>
      <c r="BP6" s="5367"/>
      <c r="BQ6" s="5368"/>
      <c r="BR6" s="5366"/>
      <c r="BS6" s="5367"/>
      <c r="BT6" s="5367"/>
      <c r="BU6" s="5367"/>
      <c r="BV6" s="5367"/>
      <c r="BW6" s="5367"/>
      <c r="BX6" s="5367"/>
      <c r="BY6" s="5368"/>
      <c r="BZ6" s="5366"/>
      <c r="CA6" s="5367"/>
      <c r="CB6" s="5367"/>
      <c r="CC6" s="5367"/>
      <c r="CD6" s="5367"/>
      <c r="CE6" s="5367"/>
      <c r="CF6" s="5367"/>
      <c r="CG6" s="5368"/>
      <c r="CH6" s="5366"/>
      <c r="CI6" s="5367"/>
      <c r="CJ6" s="5367"/>
      <c r="CK6" s="5367"/>
      <c r="CL6" s="5367"/>
      <c r="CM6" s="5367"/>
      <c r="CN6" s="5367"/>
      <c r="CO6" s="5368"/>
      <c r="CP6" s="5366"/>
      <c r="CQ6" s="5367"/>
      <c r="CR6" s="5367"/>
      <c r="CS6" s="5367"/>
      <c r="CT6" s="5367"/>
      <c r="CU6" s="5367"/>
      <c r="CV6" s="5367"/>
      <c r="CW6" s="5368"/>
      <c r="CX6" s="5366"/>
      <c r="CY6" s="5367"/>
      <c r="CZ6" s="5367"/>
      <c r="DA6" s="5367"/>
      <c r="DB6" s="5367"/>
      <c r="DC6" s="5367"/>
      <c r="DD6" s="5367"/>
      <c r="DE6" s="5369"/>
      <c r="DF6" s="5368"/>
      <c r="DG6" s="1184" t="s">
        <v>432</v>
      </c>
      <c r="DI6" s="436"/>
      <c r="DJ6" s="436" t="str">
        <f t="shared" si="0"/>
        <v>Схема подключения теплопотребляющей установки к коллектору источника тепловой энергии</v>
      </c>
      <c r="DK6" s="436"/>
      <c r="DL6" s="436"/>
      <c r="DM6" s="1081">
        <v>0</v>
      </c>
    </row>
    <row r="7" spans="1:117" ht="21" hidden="1" customHeight="1">
      <c r="A7" s="1289"/>
      <c r="B7" s="1289"/>
      <c r="C7" s="1289"/>
      <c r="D7" s="1289"/>
      <c r="E7" s="5382"/>
      <c r="F7" s="5382"/>
      <c r="G7" s="5382"/>
      <c r="H7" s="5382"/>
      <c r="I7" s="5384"/>
      <c r="J7" s="5383" t="e">
        <f>I6&amp;".1"</f>
        <v>#N/A</v>
      </c>
      <c r="K7" s="1289"/>
      <c r="L7" s="1290" t="s">
        <v>433</v>
      </c>
      <c r="M7" s="473"/>
      <c r="N7" s="1292"/>
      <c r="P7" s="5385"/>
      <c r="Q7" s="5385">
        <v>1</v>
      </c>
      <c r="R7" s="293"/>
      <c r="S7" s="1235" t="e">
        <f>$J7</f>
        <v>#N/A</v>
      </c>
      <c r="T7" s="223" t="s">
        <v>434</v>
      </c>
      <c r="U7" s="237"/>
      <c r="V7" s="5366"/>
      <c r="W7" s="5367"/>
      <c r="X7" s="5367"/>
      <c r="Y7" s="5367"/>
      <c r="Z7" s="5367"/>
      <c r="AA7" s="5367"/>
      <c r="AB7" s="5367"/>
      <c r="AC7" s="5368"/>
      <c r="AD7" s="5366"/>
      <c r="AE7" s="5367"/>
      <c r="AF7" s="5367"/>
      <c r="AG7" s="5367"/>
      <c r="AH7" s="5367"/>
      <c r="AI7" s="5367"/>
      <c r="AJ7" s="5367"/>
      <c r="AK7" s="5367"/>
      <c r="AL7" s="5366"/>
      <c r="AM7" s="5367"/>
      <c r="AN7" s="5367"/>
      <c r="AO7" s="5367"/>
      <c r="AP7" s="5367"/>
      <c r="AQ7" s="5367"/>
      <c r="AR7" s="5367"/>
      <c r="AS7" s="5368"/>
      <c r="AT7" s="5366"/>
      <c r="AU7" s="5367"/>
      <c r="AV7" s="5367"/>
      <c r="AW7" s="5367"/>
      <c r="AX7" s="5367"/>
      <c r="AY7" s="5367"/>
      <c r="AZ7" s="5367"/>
      <c r="BA7" s="5368"/>
      <c r="BB7" s="5366"/>
      <c r="BC7" s="5367"/>
      <c r="BD7" s="5367"/>
      <c r="BE7" s="5367"/>
      <c r="BF7" s="5367"/>
      <c r="BG7" s="5367"/>
      <c r="BH7" s="5367"/>
      <c r="BI7" s="5368"/>
      <c r="BJ7" s="5366"/>
      <c r="BK7" s="5367"/>
      <c r="BL7" s="5367"/>
      <c r="BM7" s="5367"/>
      <c r="BN7" s="5367"/>
      <c r="BO7" s="5367"/>
      <c r="BP7" s="5367"/>
      <c r="BQ7" s="5368"/>
      <c r="BR7" s="5366"/>
      <c r="BS7" s="5367"/>
      <c r="BT7" s="5367"/>
      <c r="BU7" s="5367"/>
      <c r="BV7" s="5367"/>
      <c r="BW7" s="5367"/>
      <c r="BX7" s="5367"/>
      <c r="BY7" s="5368"/>
      <c r="BZ7" s="5366"/>
      <c r="CA7" s="5367"/>
      <c r="CB7" s="5367"/>
      <c r="CC7" s="5367"/>
      <c r="CD7" s="5367"/>
      <c r="CE7" s="5367"/>
      <c r="CF7" s="5367"/>
      <c r="CG7" s="5368"/>
      <c r="CH7" s="5366"/>
      <c r="CI7" s="5367"/>
      <c r="CJ7" s="5367"/>
      <c r="CK7" s="5367"/>
      <c r="CL7" s="5367"/>
      <c r="CM7" s="5367"/>
      <c r="CN7" s="5367"/>
      <c r="CO7" s="5368"/>
      <c r="CP7" s="5366"/>
      <c r="CQ7" s="5367"/>
      <c r="CR7" s="5367"/>
      <c r="CS7" s="5367"/>
      <c r="CT7" s="5367"/>
      <c r="CU7" s="5367"/>
      <c r="CV7" s="5367"/>
      <c r="CW7" s="5368"/>
      <c r="CX7" s="5366"/>
      <c r="CY7" s="5367"/>
      <c r="CZ7" s="5367"/>
      <c r="DA7" s="5367"/>
      <c r="DB7" s="5367"/>
      <c r="DC7" s="5367"/>
      <c r="DD7" s="5367"/>
      <c r="DE7" s="5369"/>
      <c r="DF7" s="5368"/>
      <c r="DG7" s="1184" t="s">
        <v>435</v>
      </c>
      <c r="DI7" s="436"/>
      <c r="DJ7" s="436" t="str">
        <f t="shared" si="0"/>
        <v>Группа потребителей</v>
      </c>
      <c r="DK7" s="436"/>
      <c r="DL7" s="436"/>
      <c r="DM7" s="1081">
        <v>0</v>
      </c>
    </row>
    <row r="8" spans="1:117" ht="21" hidden="1" customHeight="1">
      <c r="A8" s="1289"/>
      <c r="B8" s="1289"/>
      <c r="C8" s="1289"/>
      <c r="D8" s="1289"/>
      <c r="E8" s="5382"/>
      <c r="F8" s="5382"/>
      <c r="G8" s="5382"/>
      <c r="H8" s="5382"/>
      <c r="I8" s="5384"/>
      <c r="J8" s="5384"/>
      <c r="K8" s="5383" t="e">
        <f>J7&amp;".1"</f>
        <v>#N/A</v>
      </c>
      <c r="L8" s="1290" t="s">
        <v>436</v>
      </c>
      <c r="M8" s="473"/>
      <c r="N8" s="1292"/>
      <c r="O8" s="1292"/>
      <c r="P8" s="5385"/>
      <c r="Q8" s="5385"/>
      <c r="R8" s="293">
        <v>1</v>
      </c>
      <c r="S8" s="1235" t="e">
        <f>$K8</f>
        <v>#N/A</v>
      </c>
      <c r="T8" s="1273"/>
      <c r="U8" s="237"/>
      <c r="V8" s="687"/>
      <c r="W8" s="262"/>
      <c r="X8" s="687"/>
      <c r="Y8" s="1183"/>
      <c r="Z8" s="5386"/>
      <c r="AA8" s="5245" t="s">
        <v>65</v>
      </c>
      <c r="AB8" s="5386"/>
      <c r="AC8" s="5245" t="s">
        <v>65</v>
      </c>
      <c r="AD8" s="687"/>
      <c r="AE8" s="262"/>
      <c r="AF8" s="687"/>
      <c r="AG8" s="1183"/>
      <c r="AH8" s="5386"/>
      <c r="AI8" s="5245" t="s">
        <v>65</v>
      </c>
      <c r="AJ8" s="5386"/>
      <c r="AK8" s="5245" t="s">
        <v>65</v>
      </c>
      <c r="AL8" s="687"/>
      <c r="AM8" s="262"/>
      <c r="AN8" s="687"/>
      <c r="AO8" s="1183"/>
      <c r="AP8" s="5386"/>
      <c r="AQ8" s="5245" t="s">
        <v>65</v>
      </c>
      <c r="AR8" s="5386"/>
      <c r="AS8" s="5245" t="s">
        <v>65</v>
      </c>
      <c r="AT8" s="687"/>
      <c r="AU8" s="262"/>
      <c r="AV8" s="687"/>
      <c r="AW8" s="1183"/>
      <c r="AX8" s="5386"/>
      <c r="AY8" s="5245" t="s">
        <v>65</v>
      </c>
      <c r="AZ8" s="5386"/>
      <c r="BA8" s="5245" t="s">
        <v>65</v>
      </c>
      <c r="BB8" s="687"/>
      <c r="BC8" s="262"/>
      <c r="BD8" s="687"/>
      <c r="BE8" s="1183"/>
      <c r="BF8" s="5386"/>
      <c r="BG8" s="5245" t="s">
        <v>65</v>
      </c>
      <c r="BH8" s="5386"/>
      <c r="BI8" s="5245" t="s">
        <v>65</v>
      </c>
      <c r="BJ8" s="687"/>
      <c r="BK8" s="262"/>
      <c r="BL8" s="687"/>
      <c r="BM8" s="1183"/>
      <c r="BN8" s="5386"/>
      <c r="BO8" s="5245" t="s">
        <v>65</v>
      </c>
      <c r="BP8" s="5386"/>
      <c r="BQ8" s="5245" t="s">
        <v>65</v>
      </c>
      <c r="BR8" s="687"/>
      <c r="BS8" s="262"/>
      <c r="BT8" s="687"/>
      <c r="BU8" s="1183"/>
      <c r="BV8" s="5386"/>
      <c r="BW8" s="5245" t="s">
        <v>65</v>
      </c>
      <c r="BX8" s="5386"/>
      <c r="BY8" s="5245" t="s">
        <v>65</v>
      </c>
      <c r="BZ8" s="687"/>
      <c r="CA8" s="262"/>
      <c r="CB8" s="687"/>
      <c r="CC8" s="1183"/>
      <c r="CD8" s="5386"/>
      <c r="CE8" s="5245" t="s">
        <v>65</v>
      </c>
      <c r="CF8" s="5386"/>
      <c r="CG8" s="5245" t="s">
        <v>65</v>
      </c>
      <c r="CH8" s="687"/>
      <c r="CI8" s="262"/>
      <c r="CJ8" s="687"/>
      <c r="CK8" s="1183"/>
      <c r="CL8" s="5386"/>
      <c r="CM8" s="5245" t="s">
        <v>65</v>
      </c>
      <c r="CN8" s="5386"/>
      <c r="CO8" s="5245" t="s">
        <v>65</v>
      </c>
      <c r="CP8" s="687"/>
      <c r="CQ8" s="262"/>
      <c r="CR8" s="687"/>
      <c r="CS8" s="1183"/>
      <c r="CT8" s="5386"/>
      <c r="CU8" s="5245" t="s">
        <v>65</v>
      </c>
      <c r="CV8" s="5386"/>
      <c r="CW8" s="5245" t="s">
        <v>65</v>
      </c>
      <c r="CX8" s="687"/>
      <c r="CY8" s="262"/>
      <c r="CZ8" s="687"/>
      <c r="DA8" s="1183"/>
      <c r="DB8" s="5386"/>
      <c r="DC8" s="5245" t="s">
        <v>65</v>
      </c>
      <c r="DD8" s="5386"/>
      <c r="DE8" s="5409" t="s">
        <v>65</v>
      </c>
      <c r="DF8" s="262"/>
      <c r="DG8" s="5405" t="s">
        <v>437</v>
      </c>
      <c r="DH8" s="447" t="e">
        <f ca="1">STRCHECKDATE(V9:DF9)</f>
        <v>#NAME?</v>
      </c>
      <c r="DI8" s="436"/>
      <c r="DJ8" s="436" t="str">
        <f t="shared" si="0"/>
        <v/>
      </c>
      <c r="DK8" s="436"/>
      <c r="DL8" s="436"/>
      <c r="DM8" s="1081">
        <v>0</v>
      </c>
    </row>
    <row r="9" spans="1:117" ht="0.75" hidden="1" customHeight="1">
      <c r="A9" s="1289"/>
      <c r="B9" s="1289"/>
      <c r="C9" s="1289"/>
      <c r="D9" s="1289"/>
      <c r="E9" s="5382"/>
      <c r="F9" s="5382"/>
      <c r="G9" s="5382"/>
      <c r="H9" s="5382"/>
      <c r="I9" s="5384"/>
      <c r="J9" s="5384"/>
      <c r="K9" s="5383"/>
      <c r="L9" s="1290"/>
      <c r="M9" s="473"/>
      <c r="N9" s="1292"/>
      <c r="O9" s="1292"/>
      <c r="P9" s="5385"/>
      <c r="Q9" s="5385"/>
      <c r="R9" s="293"/>
      <c r="S9" s="1232"/>
      <c r="T9" s="237"/>
      <c r="U9" s="237"/>
      <c r="V9" s="262"/>
      <c r="W9" s="262"/>
      <c r="X9" s="262"/>
      <c r="Y9" s="265" t="str">
        <f>Z8&amp;"-"&amp;AB8</f>
        <v>-</v>
      </c>
      <c r="Z9" s="5387"/>
      <c r="AA9" s="5245"/>
      <c r="AB9" s="5387"/>
      <c r="AC9" s="5245"/>
      <c r="AD9" s="262"/>
      <c r="AE9" s="262"/>
      <c r="AF9" s="262"/>
      <c r="AG9" s="265" t="str">
        <f>AH8&amp;"-"&amp;AJ8</f>
        <v>-</v>
      </c>
      <c r="AH9" s="5387"/>
      <c r="AI9" s="5245"/>
      <c r="AJ9" s="5387"/>
      <c r="AK9" s="5245"/>
      <c r="AL9" s="262"/>
      <c r="AM9" s="262"/>
      <c r="AN9" s="262"/>
      <c r="AO9" s="265" t="str">
        <f>AP8&amp;"-"&amp;AR8</f>
        <v>-</v>
      </c>
      <c r="AP9" s="5387"/>
      <c r="AQ9" s="5245"/>
      <c r="AR9" s="5387"/>
      <c r="AS9" s="5245"/>
      <c r="AT9" s="262"/>
      <c r="AU9" s="262"/>
      <c r="AV9" s="262"/>
      <c r="AW9" s="265" t="str">
        <f>AX8&amp;"-"&amp;AZ8</f>
        <v>-</v>
      </c>
      <c r="AX9" s="5387"/>
      <c r="AY9" s="5245"/>
      <c r="AZ9" s="5387"/>
      <c r="BA9" s="5245"/>
      <c r="BB9" s="262"/>
      <c r="BC9" s="262"/>
      <c r="BD9" s="262"/>
      <c r="BE9" s="265" t="str">
        <f>BF8&amp;"-"&amp;BH8</f>
        <v>-</v>
      </c>
      <c r="BF9" s="5387"/>
      <c r="BG9" s="5245"/>
      <c r="BH9" s="5387"/>
      <c r="BI9" s="5245"/>
      <c r="BJ9" s="262"/>
      <c r="BK9" s="262"/>
      <c r="BL9" s="262"/>
      <c r="BM9" s="265" t="str">
        <f>BN8&amp;"-"&amp;BP8</f>
        <v>-</v>
      </c>
      <c r="BN9" s="5387"/>
      <c r="BO9" s="5245"/>
      <c r="BP9" s="5387"/>
      <c r="BQ9" s="5245"/>
      <c r="BR9" s="262"/>
      <c r="BS9" s="262"/>
      <c r="BT9" s="262"/>
      <c r="BU9" s="265" t="str">
        <f>BV8&amp;"-"&amp;BX8</f>
        <v>-</v>
      </c>
      <c r="BV9" s="5387"/>
      <c r="BW9" s="5245"/>
      <c r="BX9" s="5387"/>
      <c r="BY9" s="5245"/>
      <c r="BZ9" s="262"/>
      <c r="CA9" s="262"/>
      <c r="CB9" s="262"/>
      <c r="CC9" s="265" t="str">
        <f>CD8&amp;"-"&amp;CF8</f>
        <v>-</v>
      </c>
      <c r="CD9" s="5387"/>
      <c r="CE9" s="5245"/>
      <c r="CF9" s="5387"/>
      <c r="CG9" s="5245"/>
      <c r="CH9" s="262"/>
      <c r="CI9" s="262"/>
      <c r="CJ9" s="262"/>
      <c r="CK9" s="265" t="str">
        <f>CL8&amp;"-"&amp;CN8</f>
        <v>-</v>
      </c>
      <c r="CL9" s="5387"/>
      <c r="CM9" s="5245"/>
      <c r="CN9" s="5387"/>
      <c r="CO9" s="5245"/>
      <c r="CP9" s="262"/>
      <c r="CQ9" s="262"/>
      <c r="CR9" s="262"/>
      <c r="CS9" s="265" t="str">
        <f>CT8&amp;"-"&amp;CV8</f>
        <v>-</v>
      </c>
      <c r="CT9" s="5387"/>
      <c r="CU9" s="5245"/>
      <c r="CV9" s="5387"/>
      <c r="CW9" s="5245"/>
      <c r="CX9" s="262"/>
      <c r="CY9" s="262"/>
      <c r="CZ9" s="262"/>
      <c r="DA9" s="265" t="str">
        <f>DB8&amp;"-"&amp;DD8</f>
        <v>-</v>
      </c>
      <c r="DB9" s="5387"/>
      <c r="DC9" s="5245"/>
      <c r="DD9" s="5387"/>
      <c r="DE9" s="5245"/>
      <c r="DF9" s="262"/>
      <c r="DG9" s="5406"/>
      <c r="DI9" s="436"/>
      <c r="DJ9" s="436" t="str">
        <f t="shared" si="0"/>
        <v/>
      </c>
      <c r="DK9" s="436"/>
      <c r="DL9" s="436"/>
      <c r="DM9" s="1081">
        <v>0</v>
      </c>
    </row>
    <row r="10" spans="1:117" ht="15" hidden="1" customHeight="1">
      <c r="A10" s="1289"/>
      <c r="B10" s="1289"/>
      <c r="C10" s="1289"/>
      <c r="D10" s="1289"/>
      <c r="E10" s="5382"/>
      <c r="F10" s="5382"/>
      <c r="G10" s="5382"/>
      <c r="H10" s="5382"/>
      <c r="I10" s="5384"/>
      <c r="J10" s="5383"/>
      <c r="K10" s="1289"/>
      <c r="L10" s="1290"/>
      <c r="M10" s="473"/>
      <c r="N10" s="1292"/>
      <c r="P10" s="5385"/>
      <c r="Q10" s="5385"/>
      <c r="R10" s="292"/>
      <c r="S10" s="1204"/>
      <c r="T10" s="225" t="s">
        <v>438</v>
      </c>
      <c r="U10" s="303"/>
      <c r="V10" s="303"/>
      <c r="W10" s="303"/>
      <c r="X10" s="303"/>
      <c r="Y10" s="303"/>
      <c r="Z10" s="303"/>
      <c r="AA10" s="303"/>
      <c r="AB10" s="303"/>
      <c r="AC10" s="303"/>
      <c r="AD10" s="303"/>
      <c r="AE10" s="303"/>
      <c r="AF10" s="303"/>
      <c r="AG10" s="303"/>
      <c r="AH10" s="303"/>
      <c r="AI10" s="303"/>
      <c r="AJ10" s="303"/>
      <c r="AK10" s="303"/>
      <c r="AL10" s="2466"/>
      <c r="AM10" s="2467"/>
      <c r="AN10" s="2468"/>
      <c r="AO10" s="2469"/>
      <c r="AP10" s="2470"/>
      <c r="AQ10" s="2471"/>
      <c r="AR10" s="2472"/>
      <c r="AS10" s="2473"/>
      <c r="AT10" s="2474"/>
      <c r="AU10" s="2475"/>
      <c r="AV10" s="2476"/>
      <c r="AW10" s="2477"/>
      <c r="AX10" s="2478"/>
      <c r="AY10" s="2479"/>
      <c r="AZ10" s="2480"/>
      <c r="BA10" s="2481"/>
      <c r="BB10" s="2482"/>
      <c r="BC10" s="2483"/>
      <c r="BD10" s="2484"/>
      <c r="BE10" s="2485"/>
      <c r="BF10" s="2486"/>
      <c r="BG10" s="2487"/>
      <c r="BH10" s="2488"/>
      <c r="BI10" s="2489"/>
      <c r="BJ10" s="2490"/>
      <c r="BK10" s="2491"/>
      <c r="BL10" s="2492"/>
      <c r="BM10" s="2493"/>
      <c r="BN10" s="2494"/>
      <c r="BO10" s="2495"/>
      <c r="BP10" s="2496"/>
      <c r="BQ10" s="2497"/>
      <c r="BR10" s="2498"/>
      <c r="BS10" s="2499"/>
      <c r="BT10" s="2500"/>
      <c r="BU10" s="2501"/>
      <c r="BV10" s="2502"/>
      <c r="BW10" s="2503"/>
      <c r="BX10" s="2504"/>
      <c r="BY10" s="2505"/>
      <c r="BZ10" s="2506"/>
      <c r="CA10" s="2507"/>
      <c r="CB10" s="2508"/>
      <c r="CC10" s="2509"/>
      <c r="CD10" s="2510"/>
      <c r="CE10" s="2511"/>
      <c r="CF10" s="2512"/>
      <c r="CG10" s="2513"/>
      <c r="CH10" s="2514"/>
      <c r="CI10" s="2515"/>
      <c r="CJ10" s="2516"/>
      <c r="CK10" s="2517"/>
      <c r="CL10" s="2518"/>
      <c r="CM10" s="2519"/>
      <c r="CN10" s="2520"/>
      <c r="CO10" s="2521"/>
      <c r="CP10" s="2522"/>
      <c r="CQ10" s="2523"/>
      <c r="CR10" s="2524"/>
      <c r="CS10" s="2525"/>
      <c r="CT10" s="2526"/>
      <c r="CU10" s="2527"/>
      <c r="CV10" s="2528"/>
      <c r="CW10" s="2529"/>
      <c r="CX10" s="2530"/>
      <c r="CY10" s="2531"/>
      <c r="CZ10" s="2532"/>
      <c r="DA10" s="2533"/>
      <c r="DB10" s="2534"/>
      <c r="DC10" s="2535"/>
      <c r="DD10" s="2536"/>
      <c r="DE10" s="5156"/>
      <c r="DF10" s="261"/>
      <c r="DG10" s="5407"/>
      <c r="DI10" s="436"/>
      <c r="DJ10" s="436" t="str">
        <f t="shared" si="0"/>
        <v>Добавить вид теплоносителя (параметры теплоносителя)</v>
      </c>
      <c r="DK10" s="436"/>
      <c r="DL10" s="436"/>
      <c r="DM10" s="1081">
        <v>0</v>
      </c>
    </row>
    <row r="11" spans="1:117" ht="15" hidden="1" customHeight="1">
      <c r="A11" s="1289"/>
      <c r="B11" s="1289"/>
      <c r="C11" s="1289"/>
      <c r="D11" s="1289"/>
      <c r="E11" s="5382"/>
      <c r="F11" s="5382"/>
      <c r="G11" s="5382"/>
      <c r="H11" s="5382"/>
      <c r="I11" s="5383"/>
      <c r="J11" s="1289"/>
      <c r="K11" s="1289"/>
      <c r="L11" s="1290"/>
      <c r="M11" s="473"/>
      <c r="P11" s="5385"/>
      <c r="Q11" s="1231"/>
      <c r="R11" s="292"/>
      <c r="S11" s="1204"/>
      <c r="T11" s="224" t="s">
        <v>439</v>
      </c>
      <c r="U11" s="303"/>
      <c r="V11" s="303"/>
      <c r="W11" s="303"/>
      <c r="X11" s="303"/>
      <c r="Y11" s="303"/>
      <c r="Z11" s="303"/>
      <c r="AA11" s="303"/>
      <c r="AB11" s="303"/>
      <c r="AC11" s="302"/>
      <c r="AD11" s="303"/>
      <c r="AE11" s="303"/>
      <c r="AF11" s="303"/>
      <c r="AG11" s="303"/>
      <c r="AH11" s="303"/>
      <c r="AI11" s="303"/>
      <c r="AJ11" s="303"/>
      <c r="AK11" s="302"/>
      <c r="AL11" s="2537"/>
      <c r="AM11" s="2538"/>
      <c r="AN11" s="2539"/>
      <c r="AO11" s="2540"/>
      <c r="AP11" s="2541"/>
      <c r="AQ11" s="2542"/>
      <c r="AR11" s="2543"/>
      <c r="AS11" s="2544"/>
      <c r="AT11" s="2545"/>
      <c r="AU11" s="2546"/>
      <c r="AV11" s="2547"/>
      <c r="AW11" s="2548"/>
      <c r="AX11" s="2549"/>
      <c r="AY11" s="2550"/>
      <c r="AZ11" s="2551"/>
      <c r="BA11" s="2552"/>
      <c r="BB11" s="2553"/>
      <c r="BC11" s="2554"/>
      <c r="BD11" s="2555"/>
      <c r="BE11" s="2556"/>
      <c r="BF11" s="2557"/>
      <c r="BG11" s="2558"/>
      <c r="BH11" s="2559"/>
      <c r="BI11" s="2560"/>
      <c r="BJ11" s="2561"/>
      <c r="BK11" s="2562"/>
      <c r="BL11" s="2563"/>
      <c r="BM11" s="2564"/>
      <c r="BN11" s="2565"/>
      <c r="BO11" s="2566"/>
      <c r="BP11" s="2567"/>
      <c r="BQ11" s="2568"/>
      <c r="BR11" s="2569"/>
      <c r="BS11" s="2570"/>
      <c r="BT11" s="2571"/>
      <c r="BU11" s="2572"/>
      <c r="BV11" s="2573"/>
      <c r="BW11" s="2574"/>
      <c r="BX11" s="2575"/>
      <c r="BY11" s="2576"/>
      <c r="BZ11" s="2577"/>
      <c r="CA11" s="2578"/>
      <c r="CB11" s="2579"/>
      <c r="CC11" s="2580"/>
      <c r="CD11" s="2581"/>
      <c r="CE11" s="2582"/>
      <c r="CF11" s="2583"/>
      <c r="CG11" s="2584"/>
      <c r="CH11" s="2585"/>
      <c r="CI11" s="2586"/>
      <c r="CJ11" s="2587"/>
      <c r="CK11" s="2588"/>
      <c r="CL11" s="2589"/>
      <c r="CM11" s="2590"/>
      <c r="CN11" s="2591"/>
      <c r="CO11" s="2592"/>
      <c r="CP11" s="2593"/>
      <c r="CQ11" s="2594"/>
      <c r="CR11" s="2595"/>
      <c r="CS11" s="2596"/>
      <c r="CT11" s="2597"/>
      <c r="CU11" s="2598"/>
      <c r="CV11" s="2599"/>
      <c r="CW11" s="2600"/>
      <c r="CX11" s="2601"/>
      <c r="CY11" s="2602"/>
      <c r="CZ11" s="2603"/>
      <c r="DA11" s="2604"/>
      <c r="DB11" s="2605"/>
      <c r="DC11" s="2606"/>
      <c r="DD11" s="2607"/>
      <c r="DE11" s="5157"/>
      <c r="DF11" s="303"/>
      <c r="DG11" s="240"/>
      <c r="DI11" s="436"/>
      <c r="DJ11" s="436" t="str">
        <f t="shared" si="0"/>
        <v>Добавить группу потребителей</v>
      </c>
      <c r="DK11" s="436"/>
      <c r="DL11" s="436"/>
      <c r="DM11" s="1081">
        <v>0</v>
      </c>
    </row>
    <row r="12" spans="1:117" ht="14.25" hidden="1" customHeight="1">
      <c r="A12" s="1289"/>
      <c r="B12" s="1289"/>
      <c r="C12" s="1289"/>
      <c r="D12" s="1289"/>
      <c r="E12" s="5382"/>
      <c r="F12" s="5382"/>
      <c r="G12" s="5382"/>
      <c r="H12" s="5381"/>
      <c r="I12" s="1289"/>
      <c r="J12" s="1289"/>
      <c r="K12" s="1289"/>
      <c r="L12" s="1290"/>
      <c r="M12" s="1291"/>
      <c r="N12" s="1291"/>
      <c r="O12" s="473"/>
      <c r="P12" s="296"/>
      <c r="Q12" s="311"/>
      <c r="R12" s="291"/>
      <c r="S12" s="1204"/>
      <c r="T12" s="301" t="s">
        <v>440</v>
      </c>
      <c r="U12" s="303"/>
      <c r="V12" s="303"/>
      <c r="W12" s="303"/>
      <c r="X12" s="303"/>
      <c r="Y12" s="303"/>
      <c r="Z12" s="303"/>
      <c r="AA12" s="303"/>
      <c r="AB12" s="303"/>
      <c r="AC12" s="302"/>
      <c r="AD12" s="303"/>
      <c r="AE12" s="303"/>
      <c r="AF12" s="303"/>
      <c r="AG12" s="303"/>
      <c r="AH12" s="303"/>
      <c r="AI12" s="303"/>
      <c r="AJ12" s="303"/>
      <c r="AK12" s="302"/>
      <c r="AL12" s="2608"/>
      <c r="AM12" s="2609"/>
      <c r="AN12" s="2610"/>
      <c r="AO12" s="2611"/>
      <c r="AP12" s="2612"/>
      <c r="AQ12" s="2613"/>
      <c r="AR12" s="2614"/>
      <c r="AS12" s="2615"/>
      <c r="AT12" s="2616"/>
      <c r="AU12" s="2617"/>
      <c r="AV12" s="2618"/>
      <c r="AW12" s="2619"/>
      <c r="AX12" s="2620"/>
      <c r="AY12" s="2621"/>
      <c r="AZ12" s="2622"/>
      <c r="BA12" s="2623"/>
      <c r="BB12" s="2624"/>
      <c r="BC12" s="2625"/>
      <c r="BD12" s="2626"/>
      <c r="BE12" s="2627"/>
      <c r="BF12" s="2628"/>
      <c r="BG12" s="2629"/>
      <c r="BH12" s="2630"/>
      <c r="BI12" s="2631"/>
      <c r="BJ12" s="2632"/>
      <c r="BK12" s="2633"/>
      <c r="BL12" s="2634"/>
      <c r="BM12" s="2635"/>
      <c r="BN12" s="2636"/>
      <c r="BO12" s="2637"/>
      <c r="BP12" s="2638"/>
      <c r="BQ12" s="2639"/>
      <c r="BR12" s="2640"/>
      <c r="BS12" s="2641"/>
      <c r="BT12" s="2642"/>
      <c r="BU12" s="2643"/>
      <c r="BV12" s="2644"/>
      <c r="BW12" s="2645"/>
      <c r="BX12" s="2646"/>
      <c r="BY12" s="2647"/>
      <c r="BZ12" s="2648"/>
      <c r="CA12" s="2649"/>
      <c r="CB12" s="2650"/>
      <c r="CC12" s="2651"/>
      <c r="CD12" s="2652"/>
      <c r="CE12" s="2653"/>
      <c r="CF12" s="2654"/>
      <c r="CG12" s="2655"/>
      <c r="CH12" s="2656"/>
      <c r="CI12" s="2657"/>
      <c r="CJ12" s="2658"/>
      <c r="CK12" s="2659"/>
      <c r="CL12" s="2660"/>
      <c r="CM12" s="2661"/>
      <c r="CN12" s="2662"/>
      <c r="CO12" s="2663"/>
      <c r="CP12" s="2664"/>
      <c r="CQ12" s="2665"/>
      <c r="CR12" s="2666"/>
      <c r="CS12" s="2667"/>
      <c r="CT12" s="2668"/>
      <c r="CU12" s="2669"/>
      <c r="CV12" s="2670"/>
      <c r="CW12" s="2671"/>
      <c r="CX12" s="2672"/>
      <c r="CY12" s="2673"/>
      <c r="CZ12" s="2674"/>
      <c r="DA12" s="2675"/>
      <c r="DB12" s="2676"/>
      <c r="DC12" s="2677"/>
      <c r="DD12" s="2678"/>
      <c r="DE12" s="5158"/>
      <c r="DF12" s="303"/>
      <c r="DG12" s="240"/>
      <c r="DI12" s="436"/>
      <c r="DJ12" s="436" t="str">
        <f t="shared" si="0"/>
        <v>Добавить схему подключения</v>
      </c>
      <c r="DK12" s="436"/>
      <c r="DL12" s="436"/>
      <c r="DM12" s="1081">
        <v>0</v>
      </c>
    </row>
    <row r="13" spans="1:117" s="1568" customFormat="1" ht="0.75" hidden="1" customHeight="1">
      <c r="A13" s="1240"/>
      <c r="B13" s="1240"/>
      <c r="C13" s="1240"/>
      <c r="D13" s="1240"/>
      <c r="E13" s="5382"/>
      <c r="F13" s="5382"/>
      <c r="G13" s="5381"/>
      <c r="H13" s="1240"/>
      <c r="I13" s="1240"/>
      <c r="J13" s="1240"/>
      <c r="K13" s="1240"/>
      <c r="L13" s="1265"/>
      <c r="M13" s="1241"/>
      <c r="N13" s="1241"/>
      <c r="P13" s="1242"/>
      <c r="Q13" s="1243"/>
      <c r="R13" s="1242"/>
      <c r="S13" s="1244"/>
      <c r="T13" s="1245" t="s">
        <v>163</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c r="CB13" s="1246"/>
      <c r="CC13" s="1246"/>
      <c r="CD13" s="1246"/>
      <c r="CE13" s="1246"/>
      <c r="CF13" s="1246"/>
      <c r="CG13" s="1246"/>
      <c r="CH13" s="1246"/>
      <c r="CI13" s="1246"/>
      <c r="CJ13" s="1246"/>
      <c r="CK13" s="1246"/>
      <c r="CL13" s="1246"/>
      <c r="CM13" s="1246"/>
      <c r="CN13" s="1246"/>
      <c r="CO13" s="1246"/>
      <c r="CP13" s="1246"/>
      <c r="CQ13" s="1246"/>
      <c r="CR13" s="1246"/>
      <c r="CS13" s="1246"/>
      <c r="CT13" s="1246"/>
      <c r="CU13" s="1246"/>
      <c r="CV13" s="1246"/>
      <c r="CW13" s="1246"/>
      <c r="CX13" s="1246"/>
      <c r="CY13" s="1246"/>
      <c r="CZ13" s="1246"/>
      <c r="DA13" s="1246"/>
      <c r="DB13" s="1246"/>
      <c r="DC13" s="1246"/>
      <c r="DD13" s="1246"/>
      <c r="DE13" s="5159"/>
      <c r="DF13" s="1246"/>
      <c r="DG13" s="1246"/>
      <c r="DI13" s="719"/>
      <c r="DJ13" s="719" t="str">
        <f t="shared" si="0"/>
        <v>Добавить источник для дифференциации</v>
      </c>
      <c r="DK13" s="719"/>
      <c r="DL13" s="719"/>
      <c r="DM13" s="454">
        <v>0</v>
      </c>
    </row>
    <row r="14" spans="1:117" s="1568" customFormat="1" ht="0.75" hidden="1" customHeight="1">
      <c r="A14" s="1240"/>
      <c r="B14" s="1240"/>
      <c r="C14" s="1240"/>
      <c r="D14" s="1240"/>
      <c r="E14" s="5382"/>
      <c r="F14" s="5381"/>
      <c r="G14" s="1240"/>
      <c r="H14" s="1240"/>
      <c r="I14" s="1240"/>
      <c r="J14" s="1240"/>
      <c r="K14" s="1240"/>
      <c r="L14" s="1265"/>
      <c r="M14" s="1247"/>
      <c r="N14" s="1247"/>
      <c r="P14" s="1242"/>
      <c r="Q14" s="1243"/>
      <c r="R14" s="1242"/>
      <c r="S14" s="1248"/>
      <c r="T14" s="1249" t="s">
        <v>164</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c r="CB14" s="1250"/>
      <c r="CC14" s="1250"/>
      <c r="CD14" s="1250"/>
      <c r="CE14" s="1250"/>
      <c r="CF14" s="1250"/>
      <c r="CG14" s="1250"/>
      <c r="CH14" s="1250"/>
      <c r="CI14" s="1250"/>
      <c r="CJ14" s="1250"/>
      <c r="CK14" s="1250"/>
      <c r="CL14" s="1250"/>
      <c r="CM14" s="1250"/>
      <c r="CN14" s="1250"/>
      <c r="CO14" s="1250"/>
      <c r="CP14" s="1250"/>
      <c r="CQ14" s="1250"/>
      <c r="CR14" s="1250"/>
      <c r="CS14" s="1250"/>
      <c r="CT14" s="1250"/>
      <c r="CU14" s="1250"/>
      <c r="CV14" s="1250"/>
      <c r="CW14" s="1250"/>
      <c r="CX14" s="1250"/>
      <c r="CY14" s="1250"/>
      <c r="CZ14" s="1250"/>
      <c r="DA14" s="1250"/>
      <c r="DB14" s="1250"/>
      <c r="DC14" s="1250"/>
      <c r="DD14" s="1250"/>
      <c r="DE14" s="5160"/>
      <c r="DF14" s="1250"/>
      <c r="DG14" s="1250"/>
      <c r="DI14" s="719"/>
      <c r="DJ14" s="719" t="str">
        <f t="shared" si="0"/>
        <v>Добавить централизованную систему для дифференциации</v>
      </c>
      <c r="DK14" s="719"/>
      <c r="DL14" s="719"/>
      <c r="DM14" s="454">
        <v>0</v>
      </c>
    </row>
    <row r="15" spans="1:117" s="1568" customFormat="1" ht="0.75" hidden="1" customHeight="1">
      <c r="A15" s="1240"/>
      <c r="B15" s="1240"/>
      <c r="C15" s="1240"/>
      <c r="D15" s="1240"/>
      <c r="E15" s="5381"/>
      <c r="F15" s="1240"/>
      <c r="G15" s="1240"/>
      <c r="H15" s="1240"/>
      <c r="I15" s="1240"/>
      <c r="J15" s="1240"/>
      <c r="K15" s="1240"/>
      <c r="L15" s="1265"/>
      <c r="M15" s="1247"/>
      <c r="N15" s="1247"/>
      <c r="P15" s="1242"/>
      <c r="Q15" s="1243"/>
      <c r="R15" s="1242"/>
      <c r="S15" s="1248"/>
      <c r="T15" s="1251" t="s">
        <v>165</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c r="CB15" s="1250"/>
      <c r="CC15" s="1250"/>
      <c r="CD15" s="1250"/>
      <c r="CE15" s="1250"/>
      <c r="CF15" s="1250"/>
      <c r="CG15" s="1250"/>
      <c r="CH15" s="1250"/>
      <c r="CI15" s="1250"/>
      <c r="CJ15" s="1250"/>
      <c r="CK15" s="1250"/>
      <c r="CL15" s="1250"/>
      <c r="CM15" s="1250"/>
      <c r="CN15" s="1250"/>
      <c r="CO15" s="1250"/>
      <c r="CP15" s="1250"/>
      <c r="CQ15" s="1250"/>
      <c r="CR15" s="1250"/>
      <c r="CS15" s="1250"/>
      <c r="CT15" s="1250"/>
      <c r="CU15" s="1250"/>
      <c r="CV15" s="1250"/>
      <c r="CW15" s="1250"/>
      <c r="CX15" s="1250"/>
      <c r="CY15" s="1250"/>
      <c r="CZ15" s="1250"/>
      <c r="DA15" s="1250"/>
      <c r="DB15" s="1250"/>
      <c r="DC15" s="1250"/>
      <c r="DD15" s="1250"/>
      <c r="DE15" s="5160"/>
      <c r="DF15" s="1250"/>
      <c r="DG15" s="1250"/>
      <c r="DI15" s="719"/>
      <c r="DJ15" s="719" t="str">
        <f t="shared" si="0"/>
        <v>Добавить территорию для дифференциации</v>
      </c>
      <c r="DK15" s="719"/>
      <c r="DL15" s="719"/>
      <c r="DM15" s="454">
        <v>0</v>
      </c>
    </row>
    <row r="16" spans="1:117" ht="14.25" hidden="1" customHeight="1">
      <c r="AC16" s="264"/>
      <c r="AK16" s="264"/>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1561"/>
      <c r="BM16" s="1561"/>
      <c r="BN16" s="1561"/>
      <c r="BO16" s="1561"/>
      <c r="BP16" s="1561"/>
      <c r="BQ16" s="1561"/>
      <c r="BR16" s="1561"/>
      <c r="BS16" s="1561"/>
      <c r="BT16" s="1561"/>
      <c r="BU16" s="1561"/>
      <c r="BV16" s="1561"/>
      <c r="BW16" s="1561"/>
      <c r="BX16" s="1561"/>
      <c r="BY16" s="1561"/>
      <c r="BZ16" s="1561"/>
      <c r="CA16" s="1561"/>
      <c r="CB16" s="1561"/>
      <c r="CC16" s="1561"/>
      <c r="CD16" s="1561"/>
      <c r="CE16" s="1561"/>
      <c r="CF16" s="1561"/>
      <c r="CG16" s="1561"/>
      <c r="CH16" s="1561"/>
      <c r="CI16" s="1561"/>
      <c r="CJ16" s="1561"/>
      <c r="CK16" s="1561"/>
      <c r="CL16" s="1561"/>
      <c r="CM16" s="1561"/>
      <c r="CN16" s="1561"/>
      <c r="CO16" s="1561"/>
      <c r="CP16" s="1561"/>
      <c r="CQ16" s="1561"/>
      <c r="CR16" s="1561"/>
      <c r="CS16" s="1561"/>
      <c r="CT16" s="1561"/>
      <c r="CU16" s="1561"/>
      <c r="CV16" s="1561"/>
      <c r="CW16" s="1561"/>
      <c r="CX16" s="1561"/>
      <c r="CY16" s="1561"/>
      <c r="CZ16" s="1561"/>
      <c r="DA16" s="1561"/>
      <c r="DB16" s="1561"/>
      <c r="DC16" s="1561"/>
      <c r="DD16" s="1561"/>
      <c r="DE16" s="5155"/>
      <c r="DM16" s="1081">
        <v>0</v>
      </c>
    </row>
    <row r="17" spans="1:117" ht="14.25" hidden="1" customHeight="1">
      <c r="P17" s="1237"/>
      <c r="AD17" s="1286"/>
      <c r="AE17" s="1286"/>
      <c r="AF17" s="1286"/>
      <c r="AG17" s="1287"/>
      <c r="AH17" s="5378"/>
      <c r="AI17" s="5377" t="s">
        <v>65</v>
      </c>
      <c r="AJ17" s="5378"/>
      <c r="AK17" s="5377" t="s">
        <v>65</v>
      </c>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1561"/>
      <c r="BM17" s="1561"/>
      <c r="BN17" s="1561"/>
      <c r="BO17" s="1561"/>
      <c r="BP17" s="1561"/>
      <c r="BQ17" s="1561"/>
      <c r="BR17" s="1561"/>
      <c r="BS17" s="1561"/>
      <c r="BT17" s="1561"/>
      <c r="BU17" s="1561"/>
      <c r="BV17" s="1561"/>
      <c r="BW17" s="1561"/>
      <c r="BX17" s="1561"/>
      <c r="BY17" s="1561"/>
      <c r="BZ17" s="1561"/>
      <c r="CA17" s="1561"/>
      <c r="CB17" s="1561"/>
      <c r="CC17" s="1561"/>
      <c r="CD17" s="1561"/>
      <c r="CE17" s="1561"/>
      <c r="CF17" s="1561"/>
      <c r="CG17" s="1561"/>
      <c r="CH17" s="1561"/>
      <c r="CI17" s="1561"/>
      <c r="CJ17" s="1561"/>
      <c r="CK17" s="1561"/>
      <c r="CL17" s="1561"/>
      <c r="CM17" s="1561"/>
      <c r="CN17" s="1561"/>
      <c r="CO17" s="1561"/>
      <c r="CP17" s="1561"/>
      <c r="CQ17" s="1561"/>
      <c r="CR17" s="1561"/>
      <c r="CS17" s="1561"/>
      <c r="CT17" s="1561"/>
      <c r="CU17" s="1561"/>
      <c r="CV17" s="1561"/>
      <c r="CW17" s="1561"/>
      <c r="CX17" s="1561"/>
      <c r="CY17" s="1561"/>
      <c r="CZ17" s="1561"/>
      <c r="DA17" s="1561"/>
      <c r="DB17" s="1561"/>
      <c r="DC17" s="1561"/>
      <c r="DD17" s="1561"/>
      <c r="DE17" s="5155"/>
      <c r="DM17" s="1081">
        <v>0</v>
      </c>
    </row>
    <row r="18" spans="1:117" ht="14.25" hidden="1" customHeight="1">
      <c r="P18" s="1237"/>
      <c r="AD18" s="1286"/>
      <c r="AE18" s="1286"/>
      <c r="AF18" s="1286"/>
      <c r="AG18" s="265" t="str">
        <f>AH17&amp;"-"&amp;AJ17</f>
        <v>-</v>
      </c>
      <c r="AH18" s="5377"/>
      <c r="AI18" s="5377"/>
      <c r="AJ18" s="5377"/>
      <c r="AK18" s="5377"/>
      <c r="AL18" s="1561"/>
      <c r="AM18" s="1561"/>
      <c r="AN18" s="1561"/>
      <c r="AO18" s="1561"/>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R18" s="1561"/>
      <c r="BS18" s="1561"/>
      <c r="BT18" s="1561"/>
      <c r="BU18" s="1561"/>
      <c r="BV18" s="1561"/>
      <c r="BW18" s="1561"/>
      <c r="BX18" s="1561"/>
      <c r="BY18" s="1561"/>
      <c r="BZ18" s="1561"/>
      <c r="CA18" s="1561"/>
      <c r="CB18" s="1561"/>
      <c r="CC18" s="1561"/>
      <c r="CD18" s="1561"/>
      <c r="CE18" s="1561"/>
      <c r="CF18" s="1561"/>
      <c r="CG18" s="1561"/>
      <c r="CH18" s="1561"/>
      <c r="CI18" s="1561"/>
      <c r="CJ18" s="1561"/>
      <c r="CK18" s="1561"/>
      <c r="CL18" s="1561"/>
      <c r="CM18" s="1561"/>
      <c r="CN18" s="1561"/>
      <c r="CO18" s="1561"/>
      <c r="CP18" s="1561"/>
      <c r="CQ18" s="1561"/>
      <c r="CR18" s="1561"/>
      <c r="CS18" s="1561"/>
      <c r="CT18" s="1561"/>
      <c r="CU18" s="1561"/>
      <c r="CV18" s="1561"/>
      <c r="CW18" s="1561"/>
      <c r="CX18" s="1561"/>
      <c r="CY18" s="1561"/>
      <c r="CZ18" s="1561"/>
      <c r="DA18" s="1561"/>
      <c r="DB18" s="1561"/>
      <c r="DC18" s="1561"/>
      <c r="DD18" s="1561"/>
      <c r="DE18" s="5155"/>
      <c r="DM18" s="1081">
        <v>0</v>
      </c>
    </row>
    <row r="19" spans="1:117" ht="14.25" hidden="1" customHeight="1">
      <c r="P19" s="1237"/>
      <c r="AK19" s="264"/>
      <c r="AL19" s="1561"/>
      <c r="AM19" s="1561"/>
      <c r="AN19" s="1561"/>
      <c r="AO19" s="1561"/>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R19" s="1561"/>
      <c r="BS19" s="1561"/>
      <c r="BT19" s="1561"/>
      <c r="BU19" s="1561"/>
      <c r="BV19" s="1561"/>
      <c r="BW19" s="1561"/>
      <c r="BX19" s="1561"/>
      <c r="BY19" s="1561"/>
      <c r="BZ19" s="1561"/>
      <c r="CA19" s="1561"/>
      <c r="CB19" s="1561"/>
      <c r="CC19" s="1561"/>
      <c r="CD19" s="1561"/>
      <c r="CE19" s="1561"/>
      <c r="CF19" s="1561"/>
      <c r="CG19" s="1561"/>
      <c r="CH19" s="1561"/>
      <c r="CI19" s="1561"/>
      <c r="CJ19" s="1561"/>
      <c r="CK19" s="1561"/>
      <c r="CL19" s="1561"/>
      <c r="CM19" s="1561"/>
      <c r="CN19" s="1561"/>
      <c r="CO19" s="1561"/>
      <c r="CP19" s="1561"/>
      <c r="CQ19" s="1561"/>
      <c r="CR19" s="1561"/>
      <c r="CS19" s="1561"/>
      <c r="CT19" s="1561"/>
      <c r="CU19" s="1561"/>
      <c r="CV19" s="1561"/>
      <c r="CW19" s="1561"/>
      <c r="CX19" s="1561"/>
      <c r="CY19" s="1561"/>
      <c r="CZ19" s="1561"/>
      <c r="DA19" s="1561"/>
      <c r="DB19" s="1561"/>
      <c r="DC19" s="1561"/>
      <c r="DD19" s="1561"/>
      <c r="DE19" s="5155"/>
      <c r="DM19" s="1081">
        <v>0</v>
      </c>
    </row>
    <row r="20" spans="1:117" s="1292" customFormat="1" ht="22.5" hidden="1" customHeight="1">
      <c r="L20" s="1255"/>
      <c r="M20" s="1288"/>
      <c r="N20" s="1288"/>
      <c r="O20" s="1293" t="s">
        <v>441</v>
      </c>
      <c r="P20" s="1288"/>
      <c r="Q20" s="1297"/>
      <c r="R20" s="1297"/>
      <c r="S20" s="665"/>
      <c r="Z20" s="1293"/>
      <c r="AB20" s="1293"/>
      <c r="AH20" s="1293"/>
      <c r="AJ20" s="1293"/>
      <c r="AP20" s="1293"/>
      <c r="AR20" s="1293"/>
      <c r="AX20" s="1293"/>
      <c r="AZ20" s="1293"/>
      <c r="BF20" s="1293"/>
      <c r="BH20" s="1293"/>
      <c r="BN20" s="1293"/>
      <c r="BP20" s="1293"/>
      <c r="BV20" s="1293"/>
      <c r="BX20" s="1293"/>
      <c r="CD20" s="1293"/>
      <c r="CF20" s="1293"/>
      <c r="CL20" s="1293"/>
      <c r="CN20" s="1293"/>
      <c r="CT20" s="1293"/>
      <c r="CV20" s="1293"/>
      <c r="DB20" s="1293"/>
      <c r="DD20" s="1293"/>
      <c r="DE20" s="5161"/>
      <c r="DH20" s="447"/>
      <c r="DI20" s="447"/>
      <c r="DJ20" s="447"/>
      <c r="DK20" s="447"/>
      <c r="DL20" s="447"/>
      <c r="DM20" s="1086">
        <v>0</v>
      </c>
    </row>
    <row r="21" spans="1:117" s="1292" customFormat="1" ht="14.25" hidden="1" customHeight="1">
      <c r="L21" s="1255"/>
      <c r="M21" s="1288"/>
      <c r="N21" s="1288"/>
      <c r="O21" s="1288"/>
      <c r="P21" s="1288"/>
      <c r="Q21" s="1297"/>
      <c r="R21" s="1297"/>
      <c r="S21" s="665"/>
      <c r="DE21" s="5161"/>
      <c r="DH21" s="447"/>
      <c r="DI21" s="447"/>
      <c r="DJ21" s="447"/>
      <c r="DK21" s="447"/>
      <c r="DL21" s="447"/>
      <c r="DM21" s="1086">
        <v>0</v>
      </c>
    </row>
    <row r="22" spans="1:117" s="1292" customFormat="1" ht="14.25" hidden="1" customHeight="1">
      <c r="L22" s="1255"/>
      <c r="M22" s="1288"/>
      <c r="N22" s="1288"/>
      <c r="O22" s="1290" t="s">
        <v>442</v>
      </c>
      <c r="P22" s="1288"/>
      <c r="Q22" s="1297"/>
      <c r="R22" s="1297"/>
      <c r="S22" s="665"/>
      <c r="T22" s="1086" t="s">
        <v>443</v>
      </c>
      <c r="AA22" s="124" t="s">
        <v>444</v>
      </c>
      <c r="AC22" s="124" t="s">
        <v>445</v>
      </c>
      <c r="AD22" s="1086" t="s">
        <v>443</v>
      </c>
      <c r="AI22" s="124" t="s">
        <v>446</v>
      </c>
      <c r="AK22" s="124" t="s">
        <v>445</v>
      </c>
      <c r="AQ22" s="1296" t="s">
        <v>444</v>
      </c>
      <c r="AS22" s="1296" t="s">
        <v>445</v>
      </c>
      <c r="AY22" s="1296" t="s">
        <v>444</v>
      </c>
      <c r="BA22" s="1296" t="s">
        <v>445</v>
      </c>
      <c r="BG22" s="1296" t="s">
        <v>444</v>
      </c>
      <c r="BI22" s="1296" t="s">
        <v>445</v>
      </c>
      <c r="BO22" s="1296" t="s">
        <v>444</v>
      </c>
      <c r="BQ22" s="1296" t="s">
        <v>445</v>
      </c>
      <c r="BW22" s="1296" t="s">
        <v>444</v>
      </c>
      <c r="BY22" s="1296" t="s">
        <v>445</v>
      </c>
      <c r="CE22" s="1296" t="s">
        <v>444</v>
      </c>
      <c r="CG22" s="1296" t="s">
        <v>445</v>
      </c>
      <c r="CM22" s="1296" t="s">
        <v>444</v>
      </c>
      <c r="CO22" s="1296" t="s">
        <v>445</v>
      </c>
      <c r="CU22" s="1296" t="s">
        <v>444</v>
      </c>
      <c r="CW22" s="1296" t="s">
        <v>445</v>
      </c>
      <c r="DC22" s="1296" t="s">
        <v>444</v>
      </c>
      <c r="DE22" s="5162" t="s">
        <v>445</v>
      </c>
      <c r="DH22" s="447"/>
      <c r="DI22" s="447"/>
      <c r="DJ22" s="447"/>
      <c r="DK22" s="447"/>
      <c r="DL22" s="447"/>
      <c r="DM22" s="1086">
        <v>0</v>
      </c>
    </row>
    <row r="23" spans="1:117" ht="14.25" hidden="1" customHeight="1">
      <c r="O23" s="1290"/>
      <c r="P23" s="1237"/>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BZ23" s="1561"/>
      <c r="CA23" s="1561"/>
      <c r="CB23" s="1561"/>
      <c r="CC23" s="1561"/>
      <c r="CD23" s="1561"/>
      <c r="CE23" s="1561"/>
      <c r="CF23" s="1561"/>
      <c r="CG23" s="1561"/>
      <c r="CH23" s="1561"/>
      <c r="CI23" s="1561"/>
      <c r="CJ23" s="1561"/>
      <c r="CK23" s="1561"/>
      <c r="CL23" s="1561"/>
      <c r="CM23" s="1561"/>
      <c r="CN23" s="1561"/>
      <c r="CO23" s="1561"/>
      <c r="CP23" s="1561"/>
      <c r="CQ23" s="1561"/>
      <c r="CR23" s="1561"/>
      <c r="CS23" s="1561"/>
      <c r="CT23" s="1561"/>
      <c r="CU23" s="1561"/>
      <c r="CV23" s="1561"/>
      <c r="CW23" s="1561"/>
      <c r="CX23" s="1561"/>
      <c r="CY23" s="1561"/>
      <c r="CZ23" s="1561"/>
      <c r="DA23" s="1561"/>
      <c r="DB23" s="1561"/>
      <c r="DC23" s="1561"/>
      <c r="DD23" s="1561"/>
      <c r="DE23" s="5155"/>
      <c r="DM23" s="1081">
        <v>0</v>
      </c>
    </row>
    <row r="24" spans="1:117" ht="14.25" hidden="1" customHeight="1">
      <c r="O24" s="1290"/>
      <c r="P24" s="1237"/>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561"/>
      <c r="BN24" s="1561"/>
      <c r="BO24" s="1561"/>
      <c r="BP24" s="1561"/>
      <c r="BQ24" s="1561"/>
      <c r="BR24" s="1561"/>
      <c r="BS24" s="1561"/>
      <c r="BT24" s="1561"/>
      <c r="BU24" s="1561"/>
      <c r="BV24" s="1561"/>
      <c r="BW24" s="1561"/>
      <c r="BX24" s="1561"/>
      <c r="BY24" s="1561"/>
      <c r="BZ24" s="1561"/>
      <c r="CA24" s="1561"/>
      <c r="CB24" s="1561"/>
      <c r="CC24" s="1561"/>
      <c r="CD24" s="1561"/>
      <c r="CE24" s="1561"/>
      <c r="CF24" s="1561"/>
      <c r="CG24" s="1561"/>
      <c r="CH24" s="1561"/>
      <c r="CI24" s="1561"/>
      <c r="CJ24" s="1561"/>
      <c r="CK24" s="1561"/>
      <c r="CL24" s="1561"/>
      <c r="CM24" s="1561"/>
      <c r="CN24" s="1561"/>
      <c r="CO24" s="1561"/>
      <c r="CP24" s="1561"/>
      <c r="CQ24" s="1561"/>
      <c r="CR24" s="1561"/>
      <c r="CS24" s="1561"/>
      <c r="CT24" s="1561"/>
      <c r="CU24" s="1561"/>
      <c r="CV24" s="1561"/>
      <c r="CW24" s="1561"/>
      <c r="CX24" s="1561"/>
      <c r="CY24" s="1561"/>
      <c r="CZ24" s="1561"/>
      <c r="DA24" s="1561"/>
      <c r="DB24" s="1561"/>
      <c r="DC24" s="1561"/>
      <c r="DD24" s="1561"/>
      <c r="DE24" s="5155"/>
      <c r="DM24" s="1081">
        <v>0</v>
      </c>
    </row>
    <row r="25" spans="1:117"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AT25" s="1561"/>
      <c r="AU25" s="1561"/>
      <c r="AV25" s="1561"/>
      <c r="AW25" s="1561"/>
      <c r="AX25" s="1561"/>
      <c r="AY25" s="1561"/>
      <c r="AZ25" s="1561"/>
      <c r="BA25" s="1561"/>
      <c r="BB25" s="1561"/>
      <c r="BC25" s="1561"/>
      <c r="BD25" s="1561"/>
      <c r="BE25" s="1561"/>
      <c r="BF25" s="1561"/>
      <c r="BG25" s="1561"/>
      <c r="BH25" s="1561"/>
      <c r="BI25" s="1561"/>
      <c r="BJ25" s="1561"/>
      <c r="BK25" s="1561"/>
      <c r="BL25" s="1561"/>
      <c r="BM25" s="1561"/>
      <c r="BN25" s="1561"/>
      <c r="BO25" s="1561"/>
      <c r="BP25" s="1561"/>
      <c r="BQ25" s="1561"/>
      <c r="BR25" s="1561"/>
      <c r="BS25" s="1561"/>
      <c r="BT25" s="1561"/>
      <c r="BU25" s="1561"/>
      <c r="BV25" s="1561"/>
      <c r="BW25" s="1561"/>
      <c r="BX25" s="1561"/>
      <c r="BY25" s="1561"/>
      <c r="BZ25" s="1561"/>
      <c r="CA25" s="1561"/>
      <c r="CB25" s="1561"/>
      <c r="CC25" s="1561"/>
      <c r="CD25" s="1561"/>
      <c r="CE25" s="1561"/>
      <c r="CF25" s="1561"/>
      <c r="CG25" s="1561"/>
      <c r="CH25" s="1561"/>
      <c r="CI25" s="1561"/>
      <c r="CJ25" s="1561"/>
      <c r="CK25" s="1561"/>
      <c r="CL25" s="1561"/>
      <c r="CM25" s="1561"/>
      <c r="CN25" s="1561"/>
      <c r="CO25" s="1561"/>
      <c r="CP25" s="1561"/>
      <c r="CQ25" s="1561"/>
      <c r="CR25" s="1561"/>
      <c r="CS25" s="1561"/>
      <c r="CT25" s="1561"/>
      <c r="CU25" s="1561"/>
      <c r="CV25" s="1561"/>
      <c r="CW25" s="1561"/>
      <c r="CX25" s="1561"/>
      <c r="CY25" s="1561"/>
      <c r="CZ25" s="1561"/>
      <c r="DA25" s="1561"/>
      <c r="DB25" s="1561"/>
      <c r="DC25" s="1561"/>
      <c r="DD25" s="1561"/>
      <c r="DE25" s="5155"/>
      <c r="DM25" s="1081">
        <v>14</v>
      </c>
    </row>
    <row r="26" spans="1:117" ht="14.65" customHeight="1">
      <c r="Q26" s="312"/>
      <c r="R26" s="312"/>
      <c r="S26" s="535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359"/>
      <c r="U26" s="5359"/>
      <c r="V26" s="5359"/>
      <c r="W26" s="5359"/>
      <c r="X26" s="5359"/>
      <c r="Y26" s="5359"/>
      <c r="Z26" s="5359"/>
      <c r="AA26" s="5359"/>
      <c r="AB26" s="5359"/>
      <c r="AC26" s="5359"/>
      <c r="AD26" s="5359"/>
      <c r="AE26" s="5359"/>
      <c r="AF26" s="5359"/>
      <c r="AG26" s="5359"/>
      <c r="AH26" s="5359"/>
      <c r="AI26" s="5359"/>
      <c r="AJ26" s="5359"/>
      <c r="AK26" s="1169"/>
      <c r="AL26" s="2008"/>
      <c r="AM26" s="2008"/>
      <c r="AN26" s="2008"/>
      <c r="AO26" s="2008"/>
      <c r="AP26" s="2008"/>
      <c r="AQ26" s="2008"/>
      <c r="AR26" s="2008"/>
      <c r="AS26" s="2008"/>
      <c r="AT26" s="2008"/>
      <c r="AU26" s="2008"/>
      <c r="AV26" s="2008"/>
      <c r="AW26" s="2008"/>
      <c r="AX26" s="2008"/>
      <c r="AY26" s="2008"/>
      <c r="AZ26" s="2008"/>
      <c r="BA26" s="2008"/>
      <c r="BB26" s="2008"/>
      <c r="BC26" s="2008"/>
      <c r="BD26" s="2008"/>
      <c r="BE26" s="2008"/>
      <c r="BF26" s="2008"/>
      <c r="BG26" s="2008"/>
      <c r="BH26" s="2008"/>
      <c r="BI26" s="2008"/>
      <c r="BJ26" s="2008"/>
      <c r="BK26" s="2008"/>
      <c r="BL26" s="2008"/>
      <c r="BM26" s="2008"/>
      <c r="BN26" s="2008"/>
      <c r="BO26" s="2008"/>
      <c r="BP26" s="2008"/>
      <c r="BQ26" s="2008"/>
      <c r="BR26" s="2008"/>
      <c r="BS26" s="2008"/>
      <c r="BT26" s="2008"/>
      <c r="BU26" s="2008"/>
      <c r="BV26" s="2008"/>
      <c r="BW26" s="2008"/>
      <c r="BX26" s="2008"/>
      <c r="BY26" s="2008"/>
      <c r="BZ26" s="2008"/>
      <c r="CA26" s="2008"/>
      <c r="CB26" s="2008"/>
      <c r="CC26" s="2008"/>
      <c r="CD26" s="2008"/>
      <c r="CE26" s="2008"/>
      <c r="CF26" s="2008"/>
      <c r="CG26" s="2008"/>
      <c r="CH26" s="2008"/>
      <c r="CI26" s="2008"/>
      <c r="CJ26" s="2008"/>
      <c r="CK26" s="2008"/>
      <c r="CL26" s="2008"/>
      <c r="CM26" s="2008"/>
      <c r="CN26" s="2008"/>
      <c r="CO26" s="2008"/>
      <c r="CP26" s="2008"/>
      <c r="CQ26" s="2008"/>
      <c r="CR26" s="2008"/>
      <c r="CS26" s="2008"/>
      <c r="CT26" s="2008"/>
      <c r="CU26" s="2008"/>
      <c r="CV26" s="2008"/>
      <c r="CW26" s="2008"/>
      <c r="CX26" s="2008"/>
      <c r="CY26" s="2008"/>
      <c r="CZ26" s="2008"/>
      <c r="DA26" s="2008"/>
      <c r="DB26" s="2008"/>
      <c r="DC26" s="2008"/>
      <c r="DD26" s="2008"/>
      <c r="DE26" s="5163"/>
      <c r="DM26" s="1081">
        <v>14</v>
      </c>
    </row>
    <row r="27" spans="1:117" ht="14.65" customHeight="1">
      <c r="Q27" s="312"/>
      <c r="R27" s="312"/>
      <c r="S27" s="5331" t="str">
        <f>IF(org=0,"Не определено",org)</f>
        <v>ПАО "ТГК-1" филиал "Невский"</v>
      </c>
      <c r="T27" s="5331"/>
      <c r="U27" s="5331"/>
      <c r="V27" s="5331"/>
      <c r="W27" s="5331"/>
      <c r="X27" s="5331"/>
      <c r="Y27" s="5331"/>
      <c r="Z27" s="5331"/>
      <c r="AA27" s="5331"/>
      <c r="AB27" s="5331"/>
      <c r="AC27" s="5331"/>
      <c r="AD27" s="5331"/>
      <c r="AE27" s="5331"/>
      <c r="AF27" s="5331"/>
      <c r="AG27" s="5331"/>
      <c r="AH27" s="5331"/>
      <c r="AI27" s="5331"/>
      <c r="AJ27" s="5331"/>
      <c r="AK27" s="1169"/>
      <c r="AL27" s="2009"/>
      <c r="AM27" s="2009"/>
      <c r="AN27" s="2009"/>
      <c r="AO27" s="2009"/>
      <c r="AP27" s="2009"/>
      <c r="AQ27" s="2009"/>
      <c r="AR27" s="2009"/>
      <c r="AS27" s="2009"/>
      <c r="AT27" s="2009"/>
      <c r="AU27" s="2009"/>
      <c r="AV27" s="2009"/>
      <c r="AW27" s="2009"/>
      <c r="AX27" s="2009"/>
      <c r="AY27" s="2009"/>
      <c r="AZ27" s="2009"/>
      <c r="BA27" s="2009"/>
      <c r="BB27" s="2009"/>
      <c r="BC27" s="2009"/>
      <c r="BD27" s="2009"/>
      <c r="BE27" s="2009"/>
      <c r="BF27" s="2009"/>
      <c r="BG27" s="2009"/>
      <c r="BH27" s="2009"/>
      <c r="BI27" s="2009"/>
      <c r="BJ27" s="2009"/>
      <c r="BK27" s="2009"/>
      <c r="BL27" s="2009"/>
      <c r="BM27" s="2009"/>
      <c r="BN27" s="2009"/>
      <c r="BO27" s="2009"/>
      <c r="BP27" s="2009"/>
      <c r="BQ27" s="2009"/>
      <c r="BR27" s="2009"/>
      <c r="BS27" s="2009"/>
      <c r="BT27" s="2009"/>
      <c r="BU27" s="2009"/>
      <c r="BV27" s="2009"/>
      <c r="BW27" s="2009"/>
      <c r="BX27" s="2009"/>
      <c r="BY27" s="2009"/>
      <c r="BZ27" s="2009"/>
      <c r="CA27" s="2009"/>
      <c r="CB27" s="2009"/>
      <c r="CC27" s="2009"/>
      <c r="CD27" s="2009"/>
      <c r="CE27" s="2009"/>
      <c r="CF27" s="2009"/>
      <c r="CG27" s="2009"/>
      <c r="CH27" s="2009"/>
      <c r="CI27" s="2009"/>
      <c r="CJ27" s="2009"/>
      <c r="CK27" s="2009"/>
      <c r="CL27" s="2009"/>
      <c r="CM27" s="2009"/>
      <c r="CN27" s="2009"/>
      <c r="CO27" s="2009"/>
      <c r="CP27" s="2009"/>
      <c r="CQ27" s="2009"/>
      <c r="CR27" s="2009"/>
      <c r="CS27" s="2009"/>
      <c r="CT27" s="2009"/>
      <c r="CU27" s="2009"/>
      <c r="CV27" s="2009"/>
      <c r="CW27" s="2009"/>
      <c r="CX27" s="2009"/>
      <c r="CY27" s="2009"/>
      <c r="CZ27" s="2009"/>
      <c r="DA27" s="2009"/>
      <c r="DB27" s="2009"/>
      <c r="DC27" s="2009"/>
      <c r="DD27" s="2009"/>
      <c r="DE27" s="5164"/>
      <c r="DM27" s="1081">
        <v>14</v>
      </c>
    </row>
    <row r="28" spans="1:117"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59"/>
      <c r="CZ28" s="259"/>
      <c r="DA28" s="259"/>
      <c r="DB28" s="259"/>
      <c r="DC28" s="259"/>
      <c r="DD28" s="259"/>
      <c r="DE28" s="5165"/>
      <c r="DF28" s="445"/>
      <c r="DM28" s="1081">
        <v>0</v>
      </c>
    </row>
    <row r="29" spans="1:117" s="1777" customFormat="1" ht="25.5" customHeight="1">
      <c r="A29" s="1294"/>
      <c r="B29" s="1294"/>
      <c r="C29" s="1294"/>
      <c r="D29" s="1294"/>
      <c r="E29" s="1294"/>
      <c r="F29" s="1294"/>
      <c r="G29" s="1294"/>
      <c r="H29" s="1294"/>
      <c r="I29" s="1294"/>
      <c r="J29" s="1294"/>
      <c r="K29" s="1294"/>
      <c r="L29" s="1295"/>
      <c r="M29" s="1294"/>
      <c r="N29" s="1294"/>
      <c r="O29" s="1294"/>
      <c r="S29" s="5370" t="s">
        <v>42</v>
      </c>
      <c r="T29" s="5370"/>
      <c r="U29" s="1298"/>
      <c r="V29" s="5372" t="str">
        <f>IF(TITLE_NAME_OR_PR_CHANGE="",IF(TITLE_NAME_OR_PR="","",TITLE_NAME_OR_PR),TITLE_NAME_OR_PR_CHANGE)</f>
        <v>Комитет по тарифам Санкт-Петербурга</v>
      </c>
      <c r="W29" s="5372"/>
      <c r="X29" s="5372"/>
      <c r="Y29" s="5372"/>
      <c r="Z29" s="5372"/>
      <c r="AA29" s="5372"/>
      <c r="AB29" s="5372"/>
      <c r="AC29" s="263"/>
      <c r="AD29" s="5372" t="str">
        <f>IF(TITLE_NAME_OR_PR_CHANGE="",IF(TITLE_NAME_OR_PR="","",TITLE_NAME_OR_PR),TITLE_NAME_OR_PR_CHANGE)</f>
        <v>Комитет по тарифам Санкт-Петербурга</v>
      </c>
      <c r="AE29" s="5372"/>
      <c r="AF29" s="5372"/>
      <c r="AG29" s="5372"/>
      <c r="AH29" s="5372"/>
      <c r="AI29" s="5372"/>
      <c r="AJ29" s="5372"/>
      <c r="AK29" s="263"/>
      <c r="AL29" s="5372" t="str">
        <f>IF(TITLE_NAME_OR_PR_CHANGE="",IF(TITLE_NAME_OR_PR="","",TITLE_NAME_OR_PR),TITLE_NAME_OR_PR_CHANGE)</f>
        <v>Комитет по тарифам Санкт-Петербурга</v>
      </c>
      <c r="AM29" s="5372"/>
      <c r="AN29" s="5372"/>
      <c r="AO29" s="5372"/>
      <c r="AP29" s="5372"/>
      <c r="AQ29" s="5372"/>
      <c r="AR29" s="5372"/>
      <c r="AS29" s="1561"/>
      <c r="AT29" s="5372" t="str">
        <f>IF(TITLE_NAME_OR_PR_CHANGE="",IF(TITLE_NAME_OR_PR="","",TITLE_NAME_OR_PR),TITLE_NAME_OR_PR_CHANGE)</f>
        <v>Комитет по тарифам Санкт-Петербурга</v>
      </c>
      <c r="AU29" s="5372"/>
      <c r="AV29" s="5372"/>
      <c r="AW29" s="5372"/>
      <c r="AX29" s="5372"/>
      <c r="AY29" s="5372"/>
      <c r="AZ29" s="5372"/>
      <c r="BA29" s="1561"/>
      <c r="BB29" s="5372" t="str">
        <f>IF(TITLE_NAME_OR_PR_CHANGE="",IF(TITLE_NAME_OR_PR="","",TITLE_NAME_OR_PR),TITLE_NAME_OR_PR_CHANGE)</f>
        <v>Комитет по тарифам Санкт-Петербурга</v>
      </c>
      <c r="BC29" s="5372"/>
      <c r="BD29" s="5372"/>
      <c r="BE29" s="5372"/>
      <c r="BF29" s="5372"/>
      <c r="BG29" s="5372"/>
      <c r="BH29" s="5372"/>
      <c r="BI29" s="1561"/>
      <c r="BJ29" s="5372" t="str">
        <f>IF(TITLE_NAME_OR_PR_CHANGE="",IF(TITLE_NAME_OR_PR="","",TITLE_NAME_OR_PR),TITLE_NAME_OR_PR_CHANGE)</f>
        <v>Комитет по тарифам Санкт-Петербурга</v>
      </c>
      <c r="BK29" s="5372"/>
      <c r="BL29" s="5372"/>
      <c r="BM29" s="5372"/>
      <c r="BN29" s="5372"/>
      <c r="BO29" s="5372"/>
      <c r="BP29" s="5372"/>
      <c r="BQ29" s="1561"/>
      <c r="BR29" s="5372" t="str">
        <f>IF(TITLE_NAME_OR_PR_CHANGE="",IF(TITLE_NAME_OR_PR="","",TITLE_NAME_OR_PR),TITLE_NAME_OR_PR_CHANGE)</f>
        <v>Комитет по тарифам Санкт-Петербурга</v>
      </c>
      <c r="BS29" s="5372"/>
      <c r="BT29" s="5372"/>
      <c r="BU29" s="5372"/>
      <c r="BV29" s="5372"/>
      <c r="BW29" s="5372"/>
      <c r="BX29" s="5372"/>
      <c r="BY29" s="1561"/>
      <c r="BZ29" s="5372" t="str">
        <f>IF(TITLE_NAME_OR_PR_CHANGE="",IF(TITLE_NAME_OR_PR="","",TITLE_NAME_OR_PR),TITLE_NAME_OR_PR_CHANGE)</f>
        <v>Комитет по тарифам Санкт-Петербурга</v>
      </c>
      <c r="CA29" s="5372"/>
      <c r="CB29" s="5372"/>
      <c r="CC29" s="5372"/>
      <c r="CD29" s="5372"/>
      <c r="CE29" s="5372"/>
      <c r="CF29" s="5372"/>
      <c r="CG29" s="1561"/>
      <c r="CH29" s="5372" t="str">
        <f>IF(TITLE_NAME_OR_PR_CHANGE="",IF(TITLE_NAME_OR_PR="","",TITLE_NAME_OR_PR),TITLE_NAME_OR_PR_CHANGE)</f>
        <v>Комитет по тарифам Санкт-Петербурга</v>
      </c>
      <c r="CI29" s="5372"/>
      <c r="CJ29" s="5372"/>
      <c r="CK29" s="5372"/>
      <c r="CL29" s="5372"/>
      <c r="CM29" s="5372"/>
      <c r="CN29" s="5372"/>
      <c r="CO29" s="1561"/>
      <c r="CP29" s="5372" t="str">
        <f>IF(TITLE_NAME_OR_PR_CHANGE="",IF(TITLE_NAME_OR_PR="","",TITLE_NAME_OR_PR),TITLE_NAME_OR_PR_CHANGE)</f>
        <v>Комитет по тарифам Санкт-Петербурга</v>
      </c>
      <c r="CQ29" s="5372"/>
      <c r="CR29" s="5372"/>
      <c r="CS29" s="5372"/>
      <c r="CT29" s="5372"/>
      <c r="CU29" s="5372"/>
      <c r="CV29" s="5372"/>
      <c r="CW29" s="1561"/>
      <c r="CX29" s="5372" t="str">
        <f>IF(TITLE_NAME_OR_PR_CHANGE="",IF(TITLE_NAME_OR_PR="","",TITLE_NAME_OR_PR),TITLE_NAME_OR_PR_CHANGE)</f>
        <v>Комитет по тарифам Санкт-Петербурга</v>
      </c>
      <c r="CY29" s="5372"/>
      <c r="CZ29" s="5372"/>
      <c r="DA29" s="5372"/>
      <c r="DB29" s="5372"/>
      <c r="DC29" s="5372"/>
      <c r="DD29" s="5372"/>
      <c r="DE29" s="5155"/>
      <c r="DF29" s="263"/>
      <c r="DG29" s="217"/>
      <c r="DH29" s="304"/>
      <c r="DI29" s="304"/>
      <c r="DJ29" s="304"/>
      <c r="DK29" s="304"/>
      <c r="DL29" s="304"/>
      <c r="DM29" s="354">
        <v>0</v>
      </c>
    </row>
    <row r="30" spans="1:117" s="1777" customFormat="1" ht="18.75" customHeight="1">
      <c r="A30" s="1294"/>
      <c r="B30" s="1294"/>
      <c r="C30" s="1294"/>
      <c r="D30" s="1294"/>
      <c r="E30" s="1294"/>
      <c r="F30" s="1294"/>
      <c r="G30" s="1294"/>
      <c r="H30" s="1294"/>
      <c r="I30" s="1294"/>
      <c r="J30" s="1294"/>
      <c r="K30" s="1294"/>
      <c r="L30" s="1295"/>
      <c r="M30" s="1294"/>
      <c r="N30" s="1294"/>
      <c r="O30" s="1294"/>
      <c r="S30" s="5370" t="s">
        <v>447</v>
      </c>
      <c r="T30" s="5370"/>
      <c r="U30" s="1298"/>
      <c r="V30" s="5371">
        <f>IF(TITLE_DATE_PR_CHANGE="",IF(TITLE_DATE_PR="","",TITLE_DATE_PR),TITLE_DATE_PR_CHANGE)</f>
        <v>45470</v>
      </c>
      <c r="W30" s="5371"/>
      <c r="X30" s="5371"/>
      <c r="Y30" s="5371"/>
      <c r="Z30" s="5371"/>
      <c r="AA30" s="5371"/>
      <c r="AB30" s="5371"/>
      <c r="AC30" s="263"/>
      <c r="AD30" s="5371">
        <f>IF(TITLE_DATE_PR_CHANGE="",IF(TITLE_DATE_PR="","",TITLE_DATE_PR),TITLE_DATE_PR_CHANGE)</f>
        <v>45470</v>
      </c>
      <c r="AE30" s="5371"/>
      <c r="AF30" s="5371"/>
      <c r="AG30" s="5371"/>
      <c r="AH30" s="5371"/>
      <c r="AI30" s="5371"/>
      <c r="AJ30" s="5371"/>
      <c r="AK30" s="263"/>
      <c r="AL30" s="5371">
        <f>IF(TITLE_DATE_PR_CHANGE="",IF(TITLE_DATE_PR="","",TITLE_DATE_PR),TITLE_DATE_PR_CHANGE)</f>
        <v>45470</v>
      </c>
      <c r="AM30" s="5371"/>
      <c r="AN30" s="5371"/>
      <c r="AO30" s="5371"/>
      <c r="AP30" s="5371"/>
      <c r="AQ30" s="5371"/>
      <c r="AR30" s="5371"/>
      <c r="AS30" s="1561"/>
      <c r="AT30" s="5371">
        <f>IF(TITLE_DATE_PR_CHANGE="",IF(TITLE_DATE_PR="","",TITLE_DATE_PR),TITLE_DATE_PR_CHANGE)</f>
        <v>45470</v>
      </c>
      <c r="AU30" s="5371"/>
      <c r="AV30" s="5371"/>
      <c r="AW30" s="5371"/>
      <c r="AX30" s="5371"/>
      <c r="AY30" s="5371"/>
      <c r="AZ30" s="5371"/>
      <c r="BA30" s="1561"/>
      <c r="BB30" s="5371">
        <f>IF(TITLE_DATE_PR_CHANGE="",IF(TITLE_DATE_PR="","",TITLE_DATE_PR),TITLE_DATE_PR_CHANGE)</f>
        <v>45470</v>
      </c>
      <c r="BC30" s="5371"/>
      <c r="BD30" s="5371"/>
      <c r="BE30" s="5371"/>
      <c r="BF30" s="5371"/>
      <c r="BG30" s="5371"/>
      <c r="BH30" s="5371"/>
      <c r="BI30" s="1561"/>
      <c r="BJ30" s="5371">
        <f>IF(TITLE_DATE_PR_CHANGE="",IF(TITLE_DATE_PR="","",TITLE_DATE_PR),TITLE_DATE_PR_CHANGE)</f>
        <v>45470</v>
      </c>
      <c r="BK30" s="5371"/>
      <c r="BL30" s="5371"/>
      <c r="BM30" s="5371"/>
      <c r="BN30" s="5371"/>
      <c r="BO30" s="5371"/>
      <c r="BP30" s="5371"/>
      <c r="BQ30" s="1561"/>
      <c r="BR30" s="5371">
        <f>IF(TITLE_DATE_PR_CHANGE="",IF(TITLE_DATE_PR="","",TITLE_DATE_PR),TITLE_DATE_PR_CHANGE)</f>
        <v>45470</v>
      </c>
      <c r="BS30" s="5371"/>
      <c r="BT30" s="5371"/>
      <c r="BU30" s="5371"/>
      <c r="BV30" s="5371"/>
      <c r="BW30" s="5371"/>
      <c r="BX30" s="5371"/>
      <c r="BY30" s="1561"/>
      <c r="BZ30" s="5371">
        <f>IF(TITLE_DATE_PR_CHANGE="",IF(TITLE_DATE_PR="","",TITLE_DATE_PR),TITLE_DATE_PR_CHANGE)</f>
        <v>45470</v>
      </c>
      <c r="CA30" s="5371"/>
      <c r="CB30" s="5371"/>
      <c r="CC30" s="5371"/>
      <c r="CD30" s="5371"/>
      <c r="CE30" s="5371"/>
      <c r="CF30" s="5371"/>
      <c r="CG30" s="1561"/>
      <c r="CH30" s="5371">
        <f>IF(TITLE_DATE_PR_CHANGE="",IF(TITLE_DATE_PR="","",TITLE_DATE_PR),TITLE_DATE_PR_CHANGE)</f>
        <v>45470</v>
      </c>
      <c r="CI30" s="5371"/>
      <c r="CJ30" s="5371"/>
      <c r="CK30" s="5371"/>
      <c r="CL30" s="5371"/>
      <c r="CM30" s="5371"/>
      <c r="CN30" s="5371"/>
      <c r="CO30" s="1561"/>
      <c r="CP30" s="5371">
        <f>IF(TITLE_DATE_PR_CHANGE="",IF(TITLE_DATE_PR="","",TITLE_DATE_PR),TITLE_DATE_PR_CHANGE)</f>
        <v>45470</v>
      </c>
      <c r="CQ30" s="5371"/>
      <c r="CR30" s="5371"/>
      <c r="CS30" s="5371"/>
      <c r="CT30" s="5371"/>
      <c r="CU30" s="5371"/>
      <c r="CV30" s="5371"/>
      <c r="CW30" s="1561"/>
      <c r="CX30" s="5371">
        <f>IF(TITLE_DATE_PR_CHANGE="",IF(TITLE_DATE_PR="","",TITLE_DATE_PR),TITLE_DATE_PR_CHANGE)</f>
        <v>45470</v>
      </c>
      <c r="CY30" s="5371"/>
      <c r="CZ30" s="5371"/>
      <c r="DA30" s="5371"/>
      <c r="DB30" s="5371"/>
      <c r="DC30" s="5371"/>
      <c r="DD30" s="5371"/>
      <c r="DE30" s="5155"/>
      <c r="DF30" s="263"/>
      <c r="DG30" s="217"/>
      <c r="DH30" s="304"/>
      <c r="DI30" s="304"/>
      <c r="DJ30" s="304"/>
      <c r="DK30" s="304"/>
      <c r="DL30" s="304"/>
      <c r="DM30" s="354">
        <v>0</v>
      </c>
    </row>
    <row r="31" spans="1:117" s="1777" customFormat="1" ht="18.75" customHeight="1">
      <c r="A31" s="1294"/>
      <c r="B31" s="1294"/>
      <c r="C31" s="1294"/>
      <c r="D31" s="1294"/>
      <c r="E31" s="1294"/>
      <c r="F31" s="1294"/>
      <c r="G31" s="1294"/>
      <c r="H31" s="1294"/>
      <c r="I31" s="1294"/>
      <c r="J31" s="1294"/>
      <c r="K31" s="1294"/>
      <c r="L31" s="1295"/>
      <c r="M31" s="1294"/>
      <c r="N31" s="1294"/>
      <c r="O31" s="1294"/>
      <c r="S31" s="5370" t="s">
        <v>448</v>
      </c>
      <c r="T31" s="5370"/>
      <c r="U31" s="1298"/>
      <c r="V31" s="5372" t="str">
        <f>IF(TITLE_NUMBER_PR_CHANGE="",IF(TITLE_NUMBER_PR="","",TITLE_NUMBER_PR),TITLE_NUMBER_PR_CHANGE)</f>
        <v>94-р</v>
      </c>
      <c r="W31" s="5372"/>
      <c r="X31" s="5372"/>
      <c r="Y31" s="5372"/>
      <c r="Z31" s="5372"/>
      <c r="AA31" s="5372"/>
      <c r="AB31" s="5372"/>
      <c r="AC31" s="263"/>
      <c r="AD31" s="5372" t="str">
        <f>IF(TITLE_NUMBER_PR_CHANGE="",IF(TITLE_NUMBER_PR="","",TITLE_NUMBER_PR),TITLE_NUMBER_PR_CHANGE)</f>
        <v>94-р</v>
      </c>
      <c r="AE31" s="5372"/>
      <c r="AF31" s="5372"/>
      <c r="AG31" s="5372"/>
      <c r="AH31" s="5372"/>
      <c r="AI31" s="5372"/>
      <c r="AJ31" s="5372"/>
      <c r="AK31" s="263"/>
      <c r="AL31" s="5372" t="str">
        <f>IF(TITLE_NUMBER_PR_CHANGE="",IF(TITLE_NUMBER_PR="","",TITLE_NUMBER_PR),TITLE_NUMBER_PR_CHANGE)</f>
        <v>94-р</v>
      </c>
      <c r="AM31" s="5372"/>
      <c r="AN31" s="5372"/>
      <c r="AO31" s="5372"/>
      <c r="AP31" s="5372"/>
      <c r="AQ31" s="5372"/>
      <c r="AR31" s="5372"/>
      <c r="AS31" s="1561"/>
      <c r="AT31" s="5372" t="str">
        <f>IF(TITLE_NUMBER_PR_CHANGE="",IF(TITLE_NUMBER_PR="","",TITLE_NUMBER_PR),TITLE_NUMBER_PR_CHANGE)</f>
        <v>94-р</v>
      </c>
      <c r="AU31" s="5372"/>
      <c r="AV31" s="5372"/>
      <c r="AW31" s="5372"/>
      <c r="AX31" s="5372"/>
      <c r="AY31" s="5372"/>
      <c r="AZ31" s="5372"/>
      <c r="BA31" s="1561"/>
      <c r="BB31" s="5372" t="str">
        <f>IF(TITLE_NUMBER_PR_CHANGE="",IF(TITLE_NUMBER_PR="","",TITLE_NUMBER_PR),TITLE_NUMBER_PR_CHANGE)</f>
        <v>94-р</v>
      </c>
      <c r="BC31" s="5372"/>
      <c r="BD31" s="5372"/>
      <c r="BE31" s="5372"/>
      <c r="BF31" s="5372"/>
      <c r="BG31" s="5372"/>
      <c r="BH31" s="5372"/>
      <c r="BI31" s="1561"/>
      <c r="BJ31" s="5372" t="str">
        <f>IF(TITLE_NUMBER_PR_CHANGE="",IF(TITLE_NUMBER_PR="","",TITLE_NUMBER_PR),TITLE_NUMBER_PR_CHANGE)</f>
        <v>94-р</v>
      </c>
      <c r="BK31" s="5372"/>
      <c r="BL31" s="5372"/>
      <c r="BM31" s="5372"/>
      <c r="BN31" s="5372"/>
      <c r="BO31" s="5372"/>
      <c r="BP31" s="5372"/>
      <c r="BQ31" s="1561"/>
      <c r="BR31" s="5372" t="str">
        <f>IF(TITLE_NUMBER_PR_CHANGE="",IF(TITLE_NUMBER_PR="","",TITLE_NUMBER_PR),TITLE_NUMBER_PR_CHANGE)</f>
        <v>94-р</v>
      </c>
      <c r="BS31" s="5372"/>
      <c r="BT31" s="5372"/>
      <c r="BU31" s="5372"/>
      <c r="BV31" s="5372"/>
      <c r="BW31" s="5372"/>
      <c r="BX31" s="5372"/>
      <c r="BY31" s="1561"/>
      <c r="BZ31" s="5372" t="str">
        <f>IF(TITLE_NUMBER_PR_CHANGE="",IF(TITLE_NUMBER_PR="","",TITLE_NUMBER_PR),TITLE_NUMBER_PR_CHANGE)</f>
        <v>94-р</v>
      </c>
      <c r="CA31" s="5372"/>
      <c r="CB31" s="5372"/>
      <c r="CC31" s="5372"/>
      <c r="CD31" s="5372"/>
      <c r="CE31" s="5372"/>
      <c r="CF31" s="5372"/>
      <c r="CG31" s="1561"/>
      <c r="CH31" s="5372" t="str">
        <f>IF(TITLE_NUMBER_PR_CHANGE="",IF(TITLE_NUMBER_PR="","",TITLE_NUMBER_PR),TITLE_NUMBER_PR_CHANGE)</f>
        <v>94-р</v>
      </c>
      <c r="CI31" s="5372"/>
      <c r="CJ31" s="5372"/>
      <c r="CK31" s="5372"/>
      <c r="CL31" s="5372"/>
      <c r="CM31" s="5372"/>
      <c r="CN31" s="5372"/>
      <c r="CO31" s="1561"/>
      <c r="CP31" s="5372" t="str">
        <f>IF(TITLE_NUMBER_PR_CHANGE="",IF(TITLE_NUMBER_PR="","",TITLE_NUMBER_PR),TITLE_NUMBER_PR_CHANGE)</f>
        <v>94-р</v>
      </c>
      <c r="CQ31" s="5372"/>
      <c r="CR31" s="5372"/>
      <c r="CS31" s="5372"/>
      <c r="CT31" s="5372"/>
      <c r="CU31" s="5372"/>
      <c r="CV31" s="5372"/>
      <c r="CW31" s="1561"/>
      <c r="CX31" s="5372" t="str">
        <f>IF(TITLE_NUMBER_PR_CHANGE="",IF(TITLE_NUMBER_PR="","",TITLE_NUMBER_PR),TITLE_NUMBER_PR_CHANGE)</f>
        <v>94-р</v>
      </c>
      <c r="CY31" s="5372"/>
      <c r="CZ31" s="5372"/>
      <c r="DA31" s="5372"/>
      <c r="DB31" s="5372"/>
      <c r="DC31" s="5372"/>
      <c r="DD31" s="5372"/>
      <c r="DE31" s="5155"/>
      <c r="DF31" s="263"/>
      <c r="DG31" s="217"/>
      <c r="DH31" s="304"/>
      <c r="DI31" s="304"/>
      <c r="DJ31" s="304"/>
      <c r="DK31" s="304"/>
      <c r="DL31" s="304"/>
      <c r="DM31" s="354">
        <v>0</v>
      </c>
    </row>
    <row r="32" spans="1:117" s="1777" customFormat="1" ht="18.75" customHeight="1">
      <c r="A32" s="1294"/>
      <c r="B32" s="1294"/>
      <c r="C32" s="1294"/>
      <c r="D32" s="1294"/>
      <c r="E32" s="1294"/>
      <c r="F32" s="1294"/>
      <c r="G32" s="1294"/>
      <c r="H32" s="1294"/>
      <c r="I32" s="1294"/>
      <c r="J32" s="1294"/>
      <c r="K32" s="1294"/>
      <c r="L32" s="1295"/>
      <c r="M32" s="1294"/>
      <c r="N32" s="1294"/>
      <c r="O32" s="1294"/>
      <c r="S32" s="5370" t="s">
        <v>44</v>
      </c>
      <c r="T32" s="5370"/>
      <c r="U32" s="1298"/>
      <c r="V32" s="5372" t="str">
        <f>IF(TITLE_IST_PUB_CHANGE="",IF(TITLE_IST_PUB="","",TITLE_IST_PUB),TITLE_IST_PUB_CHANGE)</f>
        <v>http://publication.pravo.gov.ru/document/7801202407010029</v>
      </c>
      <c r="W32" s="5372"/>
      <c r="X32" s="5372"/>
      <c r="Y32" s="5372"/>
      <c r="Z32" s="5372"/>
      <c r="AA32" s="5372"/>
      <c r="AB32" s="5372"/>
      <c r="AC32" s="263"/>
      <c r="AD32" s="5372" t="str">
        <f>IF(TITLE_IST_PUB_CHANGE="",IF(TITLE_IST_PUB="","",TITLE_IST_PUB),TITLE_IST_PUB_CHANGE)</f>
        <v>http://publication.pravo.gov.ru/document/7801202407010029</v>
      </c>
      <c r="AE32" s="5372"/>
      <c r="AF32" s="5372"/>
      <c r="AG32" s="5372"/>
      <c r="AH32" s="5372"/>
      <c r="AI32" s="5372"/>
      <c r="AJ32" s="5372"/>
      <c r="AK32" s="263"/>
      <c r="AL32" s="5372" t="str">
        <f>IF(TITLE_IST_PUB_CHANGE="",IF(TITLE_IST_PUB="","",TITLE_IST_PUB),TITLE_IST_PUB_CHANGE)</f>
        <v>http://publication.pravo.gov.ru/document/7801202407010029</v>
      </c>
      <c r="AM32" s="5372"/>
      <c r="AN32" s="5372"/>
      <c r="AO32" s="5372"/>
      <c r="AP32" s="5372"/>
      <c r="AQ32" s="5372"/>
      <c r="AR32" s="5372"/>
      <c r="AS32" s="1561"/>
      <c r="AT32" s="5372" t="str">
        <f>IF(TITLE_IST_PUB_CHANGE="",IF(TITLE_IST_PUB="","",TITLE_IST_PUB),TITLE_IST_PUB_CHANGE)</f>
        <v>http://publication.pravo.gov.ru/document/7801202407010029</v>
      </c>
      <c r="AU32" s="5372"/>
      <c r="AV32" s="5372"/>
      <c r="AW32" s="5372"/>
      <c r="AX32" s="5372"/>
      <c r="AY32" s="5372"/>
      <c r="AZ32" s="5372"/>
      <c r="BA32" s="1561"/>
      <c r="BB32" s="5372" t="str">
        <f>IF(TITLE_IST_PUB_CHANGE="",IF(TITLE_IST_PUB="","",TITLE_IST_PUB),TITLE_IST_PUB_CHANGE)</f>
        <v>http://publication.pravo.gov.ru/document/7801202407010029</v>
      </c>
      <c r="BC32" s="5372"/>
      <c r="BD32" s="5372"/>
      <c r="BE32" s="5372"/>
      <c r="BF32" s="5372"/>
      <c r="BG32" s="5372"/>
      <c r="BH32" s="5372"/>
      <c r="BI32" s="1561"/>
      <c r="BJ32" s="5372" t="str">
        <f>IF(TITLE_IST_PUB_CHANGE="",IF(TITLE_IST_PUB="","",TITLE_IST_PUB),TITLE_IST_PUB_CHANGE)</f>
        <v>http://publication.pravo.gov.ru/document/7801202407010029</v>
      </c>
      <c r="BK32" s="5372"/>
      <c r="BL32" s="5372"/>
      <c r="BM32" s="5372"/>
      <c r="BN32" s="5372"/>
      <c r="BO32" s="5372"/>
      <c r="BP32" s="5372"/>
      <c r="BQ32" s="1561"/>
      <c r="BR32" s="5372" t="str">
        <f>IF(TITLE_IST_PUB_CHANGE="",IF(TITLE_IST_PUB="","",TITLE_IST_PUB),TITLE_IST_PUB_CHANGE)</f>
        <v>http://publication.pravo.gov.ru/document/7801202407010029</v>
      </c>
      <c r="BS32" s="5372"/>
      <c r="BT32" s="5372"/>
      <c r="BU32" s="5372"/>
      <c r="BV32" s="5372"/>
      <c r="BW32" s="5372"/>
      <c r="BX32" s="5372"/>
      <c r="BY32" s="1561"/>
      <c r="BZ32" s="5372" t="str">
        <f>IF(TITLE_IST_PUB_CHANGE="",IF(TITLE_IST_PUB="","",TITLE_IST_PUB),TITLE_IST_PUB_CHANGE)</f>
        <v>http://publication.pravo.gov.ru/document/7801202407010029</v>
      </c>
      <c r="CA32" s="5372"/>
      <c r="CB32" s="5372"/>
      <c r="CC32" s="5372"/>
      <c r="CD32" s="5372"/>
      <c r="CE32" s="5372"/>
      <c r="CF32" s="5372"/>
      <c r="CG32" s="1561"/>
      <c r="CH32" s="5372" t="str">
        <f>IF(TITLE_IST_PUB_CHANGE="",IF(TITLE_IST_PUB="","",TITLE_IST_PUB),TITLE_IST_PUB_CHANGE)</f>
        <v>http://publication.pravo.gov.ru/document/7801202407010029</v>
      </c>
      <c r="CI32" s="5372"/>
      <c r="CJ32" s="5372"/>
      <c r="CK32" s="5372"/>
      <c r="CL32" s="5372"/>
      <c r="CM32" s="5372"/>
      <c r="CN32" s="5372"/>
      <c r="CO32" s="1561"/>
      <c r="CP32" s="5372" t="str">
        <f>IF(TITLE_IST_PUB_CHANGE="",IF(TITLE_IST_PUB="","",TITLE_IST_PUB),TITLE_IST_PUB_CHANGE)</f>
        <v>http://publication.pravo.gov.ru/document/7801202407010029</v>
      </c>
      <c r="CQ32" s="5372"/>
      <c r="CR32" s="5372"/>
      <c r="CS32" s="5372"/>
      <c r="CT32" s="5372"/>
      <c r="CU32" s="5372"/>
      <c r="CV32" s="5372"/>
      <c r="CW32" s="1561"/>
      <c r="CX32" s="5372" t="str">
        <f>IF(TITLE_IST_PUB_CHANGE="",IF(TITLE_IST_PUB="","",TITLE_IST_PUB),TITLE_IST_PUB_CHANGE)</f>
        <v>http://publication.pravo.gov.ru/document/7801202407010029</v>
      </c>
      <c r="CY32" s="5372"/>
      <c r="CZ32" s="5372"/>
      <c r="DA32" s="5372"/>
      <c r="DB32" s="5372"/>
      <c r="DC32" s="5372"/>
      <c r="DD32" s="5372"/>
      <c r="DE32" s="5155"/>
      <c r="DF32" s="263"/>
      <c r="DG32" s="217"/>
      <c r="DH32" s="304"/>
      <c r="DI32" s="304"/>
      <c r="DJ32" s="304"/>
      <c r="DK32" s="304"/>
      <c r="DL32" s="304"/>
      <c r="DM32" s="354">
        <v>0</v>
      </c>
    </row>
    <row r="33" spans="1:117"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259"/>
      <c r="CQ33" s="259"/>
      <c r="CR33" s="259"/>
      <c r="CS33" s="259"/>
      <c r="CT33" s="259"/>
      <c r="CU33" s="259"/>
      <c r="CV33" s="259"/>
      <c r="CW33" s="259"/>
      <c r="CX33" s="259"/>
      <c r="CY33" s="259"/>
      <c r="CZ33" s="259"/>
      <c r="DA33" s="259"/>
      <c r="DB33" s="259"/>
      <c r="DC33" s="259"/>
      <c r="DD33" s="259"/>
      <c r="DE33" s="5165"/>
      <c r="DF33" s="445"/>
      <c r="DM33" s="1081">
        <v>0</v>
      </c>
    </row>
    <row r="34" spans="1:117" s="1777" customFormat="1" ht="18.75" hidden="1" customHeight="1">
      <c r="A34" s="1294"/>
      <c r="B34" s="1294"/>
      <c r="C34" s="1294"/>
      <c r="D34" s="1294"/>
      <c r="E34" s="1294"/>
      <c r="F34" s="1294"/>
      <c r="G34" s="1294"/>
      <c r="H34" s="1294"/>
      <c r="I34" s="1294"/>
      <c r="J34" s="1294"/>
      <c r="K34" s="1294"/>
      <c r="L34" s="1295"/>
      <c r="M34" s="1294"/>
      <c r="N34" s="1294"/>
      <c r="O34" s="1294"/>
      <c r="S34" s="5370" t="s">
        <v>449</v>
      </c>
      <c r="T34" s="5370"/>
      <c r="U34" s="1298"/>
      <c r="V34" s="5371">
        <f>IF(TITLE_DATE_PR_CHANGE="",IF(TITLE_DATE_PR="","",TITLE_DATE_PR),TITLE_DATE_PR_CHANGE)</f>
        <v>45470</v>
      </c>
      <c r="W34" s="5371"/>
      <c r="X34" s="5371"/>
      <c r="Y34" s="5371"/>
      <c r="Z34" s="5371"/>
      <c r="AA34" s="5371"/>
      <c r="AB34" s="5371"/>
      <c r="AC34" s="263"/>
      <c r="AD34" s="5371">
        <f>IF(TITLE_DATE_PR_CHANGE="",IF(TITLE_DATE_PR="","",TITLE_DATE_PR),TITLE_DATE_PR_CHANGE)</f>
        <v>45470</v>
      </c>
      <c r="AE34" s="5371"/>
      <c r="AF34" s="5371"/>
      <c r="AG34" s="5371"/>
      <c r="AH34" s="5371"/>
      <c r="AI34" s="5371"/>
      <c r="AJ34" s="5371"/>
      <c r="AK34" s="263"/>
      <c r="AL34" s="5371">
        <f>IF(TITLE_DATE_PR_CHANGE="",IF(TITLE_DATE_PR="","",TITLE_DATE_PR),TITLE_DATE_PR_CHANGE)</f>
        <v>45470</v>
      </c>
      <c r="AM34" s="5371"/>
      <c r="AN34" s="5371"/>
      <c r="AO34" s="5371"/>
      <c r="AP34" s="5371"/>
      <c r="AQ34" s="5371"/>
      <c r="AR34" s="5371"/>
      <c r="AS34" s="1561"/>
      <c r="AT34" s="5371">
        <f>IF(TITLE_DATE_PR_CHANGE="",IF(TITLE_DATE_PR="","",TITLE_DATE_PR),TITLE_DATE_PR_CHANGE)</f>
        <v>45470</v>
      </c>
      <c r="AU34" s="5371"/>
      <c r="AV34" s="5371"/>
      <c r="AW34" s="5371"/>
      <c r="AX34" s="5371"/>
      <c r="AY34" s="5371"/>
      <c r="AZ34" s="5371"/>
      <c r="BA34" s="1561"/>
      <c r="BB34" s="5371">
        <f>IF(TITLE_DATE_PR_CHANGE="",IF(TITLE_DATE_PR="","",TITLE_DATE_PR),TITLE_DATE_PR_CHANGE)</f>
        <v>45470</v>
      </c>
      <c r="BC34" s="5371"/>
      <c r="BD34" s="5371"/>
      <c r="BE34" s="5371"/>
      <c r="BF34" s="5371"/>
      <c r="BG34" s="5371"/>
      <c r="BH34" s="5371"/>
      <c r="BI34" s="1561"/>
      <c r="BJ34" s="5371">
        <f>IF(TITLE_DATE_PR_CHANGE="",IF(TITLE_DATE_PR="","",TITLE_DATE_PR),TITLE_DATE_PR_CHANGE)</f>
        <v>45470</v>
      </c>
      <c r="BK34" s="5371"/>
      <c r="BL34" s="5371"/>
      <c r="BM34" s="5371"/>
      <c r="BN34" s="5371"/>
      <c r="BO34" s="5371"/>
      <c r="BP34" s="5371"/>
      <c r="BQ34" s="1561"/>
      <c r="BR34" s="5371">
        <f>IF(TITLE_DATE_PR_CHANGE="",IF(TITLE_DATE_PR="","",TITLE_DATE_PR),TITLE_DATE_PR_CHANGE)</f>
        <v>45470</v>
      </c>
      <c r="BS34" s="5371"/>
      <c r="BT34" s="5371"/>
      <c r="BU34" s="5371"/>
      <c r="BV34" s="5371"/>
      <c r="BW34" s="5371"/>
      <c r="BX34" s="5371"/>
      <c r="BY34" s="1561"/>
      <c r="BZ34" s="5371">
        <f>IF(TITLE_DATE_PR_CHANGE="",IF(TITLE_DATE_PR="","",TITLE_DATE_PR),TITLE_DATE_PR_CHANGE)</f>
        <v>45470</v>
      </c>
      <c r="CA34" s="5371"/>
      <c r="CB34" s="5371"/>
      <c r="CC34" s="5371"/>
      <c r="CD34" s="5371"/>
      <c r="CE34" s="5371"/>
      <c r="CF34" s="5371"/>
      <c r="CG34" s="1561"/>
      <c r="CH34" s="5371">
        <f>IF(TITLE_DATE_PR_CHANGE="",IF(TITLE_DATE_PR="","",TITLE_DATE_PR),TITLE_DATE_PR_CHANGE)</f>
        <v>45470</v>
      </c>
      <c r="CI34" s="5371"/>
      <c r="CJ34" s="5371"/>
      <c r="CK34" s="5371"/>
      <c r="CL34" s="5371"/>
      <c r="CM34" s="5371"/>
      <c r="CN34" s="5371"/>
      <c r="CO34" s="1561"/>
      <c r="CP34" s="5371">
        <f>IF(TITLE_DATE_PR_CHANGE="",IF(TITLE_DATE_PR="","",TITLE_DATE_PR),TITLE_DATE_PR_CHANGE)</f>
        <v>45470</v>
      </c>
      <c r="CQ34" s="5371"/>
      <c r="CR34" s="5371"/>
      <c r="CS34" s="5371"/>
      <c r="CT34" s="5371"/>
      <c r="CU34" s="5371"/>
      <c r="CV34" s="5371"/>
      <c r="CW34" s="1561"/>
      <c r="CX34" s="5371">
        <f>IF(TITLE_DATE_PR_CHANGE="",IF(TITLE_DATE_PR="","",TITLE_DATE_PR),TITLE_DATE_PR_CHANGE)</f>
        <v>45470</v>
      </c>
      <c r="CY34" s="5371"/>
      <c r="CZ34" s="5371"/>
      <c r="DA34" s="5371"/>
      <c r="DB34" s="5371"/>
      <c r="DC34" s="5371"/>
      <c r="DD34" s="5371"/>
      <c r="DE34" s="5155"/>
      <c r="DF34" s="263"/>
      <c r="DG34" s="217"/>
      <c r="DH34" s="304"/>
      <c r="DI34" s="304"/>
      <c r="DJ34" s="304"/>
      <c r="DK34" s="304"/>
      <c r="DL34" s="304"/>
      <c r="DM34" s="354">
        <v>0</v>
      </c>
    </row>
    <row r="35" spans="1:117" s="1777" customFormat="1" ht="18.75" hidden="1" customHeight="1">
      <c r="A35" s="1294"/>
      <c r="B35" s="1294"/>
      <c r="C35" s="1294"/>
      <c r="D35" s="1294"/>
      <c r="E35" s="1294"/>
      <c r="F35" s="1294"/>
      <c r="G35" s="1294"/>
      <c r="H35" s="1294"/>
      <c r="I35" s="1294"/>
      <c r="J35" s="1294"/>
      <c r="K35" s="1294"/>
      <c r="L35" s="1295"/>
      <c r="M35" s="1294"/>
      <c r="N35" s="1294"/>
      <c r="O35" s="1294"/>
      <c r="S35" s="5370" t="s">
        <v>450</v>
      </c>
      <c r="T35" s="5370"/>
      <c r="U35" s="1298"/>
      <c r="V35" s="5372" t="str">
        <f>IF(TITLE_NUMBER_PR_CHANGE="",IF(TITLE_NUMBER_PR="","",TITLE_NUMBER_PR),TITLE_NUMBER_PR_CHANGE)</f>
        <v>94-р</v>
      </c>
      <c r="W35" s="5372"/>
      <c r="X35" s="5372"/>
      <c r="Y35" s="5372"/>
      <c r="Z35" s="5372"/>
      <c r="AA35" s="5372"/>
      <c r="AB35" s="5372"/>
      <c r="AC35" s="263"/>
      <c r="AD35" s="5372" t="str">
        <f>IF(TITLE_NUMBER_PR_CHANGE="",IF(TITLE_NUMBER_PR="","",TITLE_NUMBER_PR),TITLE_NUMBER_PR_CHANGE)</f>
        <v>94-р</v>
      </c>
      <c r="AE35" s="5372"/>
      <c r="AF35" s="5372"/>
      <c r="AG35" s="5372"/>
      <c r="AH35" s="5372"/>
      <c r="AI35" s="5372"/>
      <c r="AJ35" s="5372"/>
      <c r="AK35" s="263"/>
      <c r="AL35" s="5372" t="str">
        <f>IF(TITLE_NUMBER_PR_CHANGE="",IF(TITLE_NUMBER_PR="","",TITLE_NUMBER_PR),TITLE_NUMBER_PR_CHANGE)</f>
        <v>94-р</v>
      </c>
      <c r="AM35" s="5372"/>
      <c r="AN35" s="5372"/>
      <c r="AO35" s="5372"/>
      <c r="AP35" s="5372"/>
      <c r="AQ35" s="5372"/>
      <c r="AR35" s="5372"/>
      <c r="AS35" s="1561"/>
      <c r="AT35" s="5372" t="str">
        <f>IF(TITLE_NUMBER_PR_CHANGE="",IF(TITLE_NUMBER_PR="","",TITLE_NUMBER_PR),TITLE_NUMBER_PR_CHANGE)</f>
        <v>94-р</v>
      </c>
      <c r="AU35" s="5372"/>
      <c r="AV35" s="5372"/>
      <c r="AW35" s="5372"/>
      <c r="AX35" s="5372"/>
      <c r="AY35" s="5372"/>
      <c r="AZ35" s="5372"/>
      <c r="BA35" s="1561"/>
      <c r="BB35" s="5372" t="str">
        <f>IF(TITLE_NUMBER_PR_CHANGE="",IF(TITLE_NUMBER_PR="","",TITLE_NUMBER_PR),TITLE_NUMBER_PR_CHANGE)</f>
        <v>94-р</v>
      </c>
      <c r="BC35" s="5372"/>
      <c r="BD35" s="5372"/>
      <c r="BE35" s="5372"/>
      <c r="BF35" s="5372"/>
      <c r="BG35" s="5372"/>
      <c r="BH35" s="5372"/>
      <c r="BI35" s="1561"/>
      <c r="BJ35" s="5372" t="str">
        <f>IF(TITLE_NUMBER_PR_CHANGE="",IF(TITLE_NUMBER_PR="","",TITLE_NUMBER_PR),TITLE_NUMBER_PR_CHANGE)</f>
        <v>94-р</v>
      </c>
      <c r="BK35" s="5372"/>
      <c r="BL35" s="5372"/>
      <c r="BM35" s="5372"/>
      <c r="BN35" s="5372"/>
      <c r="BO35" s="5372"/>
      <c r="BP35" s="5372"/>
      <c r="BQ35" s="1561"/>
      <c r="BR35" s="5372" t="str">
        <f>IF(TITLE_NUMBER_PR_CHANGE="",IF(TITLE_NUMBER_PR="","",TITLE_NUMBER_PR),TITLE_NUMBER_PR_CHANGE)</f>
        <v>94-р</v>
      </c>
      <c r="BS35" s="5372"/>
      <c r="BT35" s="5372"/>
      <c r="BU35" s="5372"/>
      <c r="BV35" s="5372"/>
      <c r="BW35" s="5372"/>
      <c r="BX35" s="5372"/>
      <c r="BY35" s="1561"/>
      <c r="BZ35" s="5372" t="str">
        <f>IF(TITLE_NUMBER_PR_CHANGE="",IF(TITLE_NUMBER_PR="","",TITLE_NUMBER_PR),TITLE_NUMBER_PR_CHANGE)</f>
        <v>94-р</v>
      </c>
      <c r="CA35" s="5372"/>
      <c r="CB35" s="5372"/>
      <c r="CC35" s="5372"/>
      <c r="CD35" s="5372"/>
      <c r="CE35" s="5372"/>
      <c r="CF35" s="5372"/>
      <c r="CG35" s="1561"/>
      <c r="CH35" s="5372" t="str">
        <f>IF(TITLE_NUMBER_PR_CHANGE="",IF(TITLE_NUMBER_PR="","",TITLE_NUMBER_PR),TITLE_NUMBER_PR_CHANGE)</f>
        <v>94-р</v>
      </c>
      <c r="CI35" s="5372"/>
      <c r="CJ35" s="5372"/>
      <c r="CK35" s="5372"/>
      <c r="CL35" s="5372"/>
      <c r="CM35" s="5372"/>
      <c r="CN35" s="5372"/>
      <c r="CO35" s="1561"/>
      <c r="CP35" s="5372" t="str">
        <f>IF(TITLE_NUMBER_PR_CHANGE="",IF(TITLE_NUMBER_PR="","",TITLE_NUMBER_PR),TITLE_NUMBER_PR_CHANGE)</f>
        <v>94-р</v>
      </c>
      <c r="CQ35" s="5372"/>
      <c r="CR35" s="5372"/>
      <c r="CS35" s="5372"/>
      <c r="CT35" s="5372"/>
      <c r="CU35" s="5372"/>
      <c r="CV35" s="5372"/>
      <c r="CW35" s="1561"/>
      <c r="CX35" s="5372" t="str">
        <f>IF(TITLE_NUMBER_PR_CHANGE="",IF(TITLE_NUMBER_PR="","",TITLE_NUMBER_PR),TITLE_NUMBER_PR_CHANGE)</f>
        <v>94-р</v>
      </c>
      <c r="CY35" s="5372"/>
      <c r="CZ35" s="5372"/>
      <c r="DA35" s="5372"/>
      <c r="DB35" s="5372"/>
      <c r="DC35" s="5372"/>
      <c r="DD35" s="5372"/>
      <c r="DE35" s="5155"/>
      <c r="DF35" s="263"/>
      <c r="DG35" s="217"/>
      <c r="DH35" s="304"/>
      <c r="DI35" s="304"/>
      <c r="DJ35" s="304"/>
      <c r="DK35" s="304"/>
      <c r="DL35" s="304"/>
      <c r="DM35" s="354">
        <v>0</v>
      </c>
    </row>
    <row r="36" spans="1:117"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451</v>
      </c>
      <c r="AD36" s="263"/>
      <c r="AE36" s="263"/>
      <c r="AF36" s="263"/>
      <c r="AG36" s="263"/>
      <c r="AH36" s="263"/>
      <c r="AI36" s="263"/>
      <c r="AJ36" s="263"/>
      <c r="AK36" s="215" t="s">
        <v>451</v>
      </c>
      <c r="AL36" s="1561"/>
      <c r="AM36" s="1561"/>
      <c r="AN36" s="1561"/>
      <c r="AO36" s="1561"/>
      <c r="AP36" s="1561"/>
      <c r="AQ36" s="1561"/>
      <c r="AR36" s="1561"/>
      <c r="AS36" s="1568" t="s">
        <v>451</v>
      </c>
      <c r="AT36" s="1561"/>
      <c r="AU36" s="1561"/>
      <c r="AV36" s="1561"/>
      <c r="AW36" s="1561"/>
      <c r="AX36" s="1561"/>
      <c r="AY36" s="1561"/>
      <c r="AZ36" s="1561"/>
      <c r="BA36" s="1568" t="s">
        <v>451</v>
      </c>
      <c r="BB36" s="1561"/>
      <c r="BC36" s="1561"/>
      <c r="BD36" s="1561"/>
      <c r="BE36" s="1561"/>
      <c r="BF36" s="1561"/>
      <c r="BG36" s="1561"/>
      <c r="BH36" s="1561"/>
      <c r="BI36" s="1568" t="s">
        <v>451</v>
      </c>
      <c r="BJ36" s="1561"/>
      <c r="BK36" s="1561"/>
      <c r="BL36" s="1561"/>
      <c r="BM36" s="1561"/>
      <c r="BN36" s="1561"/>
      <c r="BO36" s="1561"/>
      <c r="BP36" s="1561"/>
      <c r="BQ36" s="1568" t="s">
        <v>451</v>
      </c>
      <c r="BR36" s="1561"/>
      <c r="BS36" s="1561"/>
      <c r="BT36" s="1561"/>
      <c r="BU36" s="1561"/>
      <c r="BV36" s="1561"/>
      <c r="BW36" s="1561"/>
      <c r="BX36" s="1561"/>
      <c r="BY36" s="1568" t="s">
        <v>451</v>
      </c>
      <c r="BZ36" s="1561"/>
      <c r="CA36" s="1561"/>
      <c r="CB36" s="1561"/>
      <c r="CC36" s="1561"/>
      <c r="CD36" s="1561"/>
      <c r="CE36" s="1561"/>
      <c r="CF36" s="1561"/>
      <c r="CG36" s="1568" t="s">
        <v>451</v>
      </c>
      <c r="CH36" s="1561"/>
      <c r="CI36" s="1561"/>
      <c r="CJ36" s="1561"/>
      <c r="CK36" s="1561"/>
      <c r="CL36" s="1561"/>
      <c r="CM36" s="1561"/>
      <c r="CN36" s="1561"/>
      <c r="CO36" s="1568" t="s">
        <v>451</v>
      </c>
      <c r="CP36" s="1561"/>
      <c r="CQ36" s="1561"/>
      <c r="CR36" s="1561"/>
      <c r="CS36" s="1561"/>
      <c r="CT36" s="1561"/>
      <c r="CU36" s="1561"/>
      <c r="CV36" s="1561"/>
      <c r="CW36" s="1568" t="s">
        <v>451</v>
      </c>
      <c r="CX36" s="1561"/>
      <c r="CY36" s="1561"/>
      <c r="CZ36" s="1561"/>
      <c r="DA36" s="1561"/>
      <c r="DB36" s="1561"/>
      <c r="DC36" s="1561"/>
      <c r="DD36" s="1561"/>
      <c r="DE36" s="5166" t="s">
        <v>451</v>
      </c>
      <c r="DH36" s="304"/>
      <c r="DI36" s="304"/>
      <c r="DJ36" s="304"/>
      <c r="DK36" s="304"/>
      <c r="DL36" s="304"/>
      <c r="DM36" s="354">
        <v>0</v>
      </c>
    </row>
    <row r="37" spans="1:117" ht="14.65" customHeight="1">
      <c r="Q37" s="312"/>
      <c r="R37" s="312"/>
      <c r="S37" s="1201"/>
      <c r="T37" s="299"/>
      <c r="U37" s="1170"/>
      <c r="V37" s="5393"/>
      <c r="W37" s="5393"/>
      <c r="X37" s="5393"/>
      <c r="Y37" s="5393"/>
      <c r="Z37" s="5393"/>
      <c r="AA37" s="5393"/>
      <c r="AB37" s="5393"/>
      <c r="AC37" s="5393"/>
      <c r="AD37" s="5393"/>
      <c r="AE37" s="5393"/>
      <c r="AF37" s="5393"/>
      <c r="AG37" s="5393"/>
      <c r="AH37" s="5393"/>
      <c r="AI37" s="5393"/>
      <c r="AJ37" s="5393"/>
      <c r="AK37" s="5393"/>
      <c r="AL37" s="5393" t="s">
        <v>166</v>
      </c>
      <c r="AM37" s="5393"/>
      <c r="AN37" s="5393"/>
      <c r="AO37" s="5393"/>
      <c r="AP37" s="5393"/>
      <c r="AQ37" s="5393"/>
      <c r="AR37" s="5393"/>
      <c r="AS37" s="5393"/>
      <c r="AT37" s="5393" t="s">
        <v>166</v>
      </c>
      <c r="AU37" s="5393"/>
      <c r="AV37" s="5393"/>
      <c r="AW37" s="5393"/>
      <c r="AX37" s="5393"/>
      <c r="AY37" s="5393"/>
      <c r="AZ37" s="5393"/>
      <c r="BA37" s="5393"/>
      <c r="BB37" s="5393" t="s">
        <v>166</v>
      </c>
      <c r="BC37" s="5393"/>
      <c r="BD37" s="5393"/>
      <c r="BE37" s="5393"/>
      <c r="BF37" s="5393"/>
      <c r="BG37" s="5393"/>
      <c r="BH37" s="5393"/>
      <c r="BI37" s="5393"/>
      <c r="BJ37" s="5393" t="s">
        <v>166</v>
      </c>
      <c r="BK37" s="5393"/>
      <c r="BL37" s="5393"/>
      <c r="BM37" s="5393"/>
      <c r="BN37" s="5393"/>
      <c r="BO37" s="5393"/>
      <c r="BP37" s="5393"/>
      <c r="BQ37" s="5393"/>
      <c r="BR37" s="5393" t="s">
        <v>166</v>
      </c>
      <c r="BS37" s="5393"/>
      <c r="BT37" s="5393"/>
      <c r="BU37" s="5393"/>
      <c r="BV37" s="5393"/>
      <c r="BW37" s="5393"/>
      <c r="BX37" s="5393"/>
      <c r="BY37" s="5393"/>
      <c r="BZ37" s="5393" t="s">
        <v>166</v>
      </c>
      <c r="CA37" s="5393"/>
      <c r="CB37" s="5393"/>
      <c r="CC37" s="5393"/>
      <c r="CD37" s="5393"/>
      <c r="CE37" s="5393"/>
      <c r="CF37" s="5393"/>
      <c r="CG37" s="5393"/>
      <c r="CH37" s="5393" t="s">
        <v>166</v>
      </c>
      <c r="CI37" s="5393"/>
      <c r="CJ37" s="5393"/>
      <c r="CK37" s="5393"/>
      <c r="CL37" s="5393"/>
      <c r="CM37" s="5393"/>
      <c r="CN37" s="5393"/>
      <c r="CO37" s="5393"/>
      <c r="CP37" s="5393" t="s">
        <v>166</v>
      </c>
      <c r="CQ37" s="5393"/>
      <c r="CR37" s="5393"/>
      <c r="CS37" s="5393"/>
      <c r="CT37" s="5393"/>
      <c r="CU37" s="5393"/>
      <c r="CV37" s="5393"/>
      <c r="CW37" s="5393"/>
      <c r="CX37" s="5393" t="s">
        <v>166</v>
      </c>
      <c r="CY37" s="5393"/>
      <c r="CZ37" s="5393"/>
      <c r="DA37" s="5393"/>
      <c r="DB37" s="5393"/>
      <c r="DC37" s="5393"/>
      <c r="DD37" s="5393"/>
      <c r="DE37" s="5410"/>
      <c r="DM37" s="1081">
        <v>14</v>
      </c>
    </row>
    <row r="38" spans="1:117" ht="15" customHeight="1">
      <c r="Q38" s="312"/>
      <c r="R38" s="312"/>
      <c r="S38" s="5235" t="s">
        <v>327</v>
      </c>
      <c r="T38" s="5235"/>
      <c r="U38" s="5235"/>
      <c r="V38" s="5235"/>
      <c r="W38" s="5235"/>
      <c r="X38" s="5235"/>
      <c r="Y38" s="5235"/>
      <c r="Z38" s="5235"/>
      <c r="AA38" s="5235"/>
      <c r="AB38" s="5235"/>
      <c r="AC38" s="5235"/>
      <c r="AD38" s="5235"/>
      <c r="AE38" s="5235"/>
      <c r="AF38" s="5235"/>
      <c r="AG38" s="5235"/>
      <c r="AH38" s="5235"/>
      <c r="AI38" s="5235"/>
      <c r="AJ38" s="5235"/>
      <c r="AK38" s="5235"/>
      <c r="AL38" s="5235" t="s">
        <v>327</v>
      </c>
      <c r="AM38" s="5235"/>
      <c r="AN38" s="5235"/>
      <c r="AO38" s="5235"/>
      <c r="AP38" s="5235"/>
      <c r="AQ38" s="5235"/>
      <c r="AR38" s="5235"/>
      <c r="AS38" s="5235"/>
      <c r="AT38" s="5235" t="s">
        <v>327</v>
      </c>
      <c r="AU38" s="5235"/>
      <c r="AV38" s="5235"/>
      <c r="AW38" s="5235"/>
      <c r="AX38" s="5235"/>
      <c r="AY38" s="5235"/>
      <c r="AZ38" s="5235"/>
      <c r="BA38" s="5235"/>
      <c r="BB38" s="5235" t="s">
        <v>327</v>
      </c>
      <c r="BC38" s="5235"/>
      <c r="BD38" s="5235"/>
      <c r="BE38" s="5235"/>
      <c r="BF38" s="5235"/>
      <c r="BG38" s="5235"/>
      <c r="BH38" s="5235"/>
      <c r="BI38" s="5235"/>
      <c r="BJ38" s="5235" t="s">
        <v>327</v>
      </c>
      <c r="BK38" s="5235"/>
      <c r="BL38" s="5235"/>
      <c r="BM38" s="5235"/>
      <c r="BN38" s="5235"/>
      <c r="BO38" s="5235"/>
      <c r="BP38" s="5235"/>
      <c r="BQ38" s="5235"/>
      <c r="BR38" s="5235" t="s">
        <v>327</v>
      </c>
      <c r="BS38" s="5235"/>
      <c r="BT38" s="5235"/>
      <c r="BU38" s="5235"/>
      <c r="BV38" s="5235"/>
      <c r="BW38" s="5235"/>
      <c r="BX38" s="5235"/>
      <c r="BY38" s="5235"/>
      <c r="BZ38" s="5235" t="s">
        <v>327</v>
      </c>
      <c r="CA38" s="5235"/>
      <c r="CB38" s="5235"/>
      <c r="CC38" s="5235"/>
      <c r="CD38" s="5235"/>
      <c r="CE38" s="5235"/>
      <c r="CF38" s="5235"/>
      <c r="CG38" s="5235"/>
      <c r="CH38" s="5235" t="s">
        <v>327</v>
      </c>
      <c r="CI38" s="5235"/>
      <c r="CJ38" s="5235"/>
      <c r="CK38" s="5235"/>
      <c r="CL38" s="5235"/>
      <c r="CM38" s="5235"/>
      <c r="CN38" s="5235"/>
      <c r="CO38" s="5235"/>
      <c r="CP38" s="5235" t="s">
        <v>327</v>
      </c>
      <c r="CQ38" s="5235"/>
      <c r="CR38" s="5235"/>
      <c r="CS38" s="5235"/>
      <c r="CT38" s="5235"/>
      <c r="CU38" s="5235"/>
      <c r="CV38" s="5235"/>
      <c r="CW38" s="5235"/>
      <c r="CX38" s="5235" t="s">
        <v>327</v>
      </c>
      <c r="CY38" s="5235"/>
      <c r="CZ38" s="5235"/>
      <c r="DA38" s="5235"/>
      <c r="DB38" s="5235"/>
      <c r="DC38" s="5235"/>
      <c r="DD38" s="5235"/>
      <c r="DE38" s="5394"/>
      <c r="DF38" s="5235"/>
      <c r="DG38" s="5235"/>
      <c r="DM38" s="1081"/>
    </row>
    <row r="39" spans="1:117" ht="14.65" customHeight="1">
      <c r="Q39" s="312"/>
      <c r="R39" s="312"/>
      <c r="S39" s="5395" t="s">
        <v>90</v>
      </c>
      <c r="T39" s="5339" t="s">
        <v>452</v>
      </c>
      <c r="U39" s="238"/>
      <c r="V39" s="5396" t="s">
        <v>453</v>
      </c>
      <c r="W39" s="5397"/>
      <c r="X39" s="5397"/>
      <c r="Y39" s="5397"/>
      <c r="Z39" s="5397"/>
      <c r="AA39" s="5397"/>
      <c r="AB39" s="5398"/>
      <c r="AC39" s="5399" t="s">
        <v>454</v>
      </c>
      <c r="AD39" s="5396" t="s">
        <v>453</v>
      </c>
      <c r="AE39" s="5397"/>
      <c r="AF39" s="5397"/>
      <c r="AG39" s="5397"/>
      <c r="AH39" s="5397"/>
      <c r="AI39" s="5397"/>
      <c r="AJ39" s="5398"/>
      <c r="AK39" s="5399" t="s">
        <v>455</v>
      </c>
      <c r="AL39" s="5396" t="s">
        <v>453</v>
      </c>
      <c r="AM39" s="5397"/>
      <c r="AN39" s="5397"/>
      <c r="AO39" s="5397"/>
      <c r="AP39" s="5397"/>
      <c r="AQ39" s="5397"/>
      <c r="AR39" s="5398"/>
      <c r="AS39" s="5399" t="s">
        <v>454</v>
      </c>
      <c r="AT39" s="5396" t="s">
        <v>453</v>
      </c>
      <c r="AU39" s="5397"/>
      <c r="AV39" s="5397"/>
      <c r="AW39" s="5397"/>
      <c r="AX39" s="5397"/>
      <c r="AY39" s="5397"/>
      <c r="AZ39" s="5398"/>
      <c r="BA39" s="5399" t="s">
        <v>454</v>
      </c>
      <c r="BB39" s="5396" t="s">
        <v>453</v>
      </c>
      <c r="BC39" s="5397"/>
      <c r="BD39" s="5397"/>
      <c r="BE39" s="5397"/>
      <c r="BF39" s="5397"/>
      <c r="BG39" s="5397"/>
      <c r="BH39" s="5398"/>
      <c r="BI39" s="5399" t="s">
        <v>454</v>
      </c>
      <c r="BJ39" s="5396" t="s">
        <v>453</v>
      </c>
      <c r="BK39" s="5397"/>
      <c r="BL39" s="5397"/>
      <c r="BM39" s="5397"/>
      <c r="BN39" s="5397"/>
      <c r="BO39" s="5397"/>
      <c r="BP39" s="5398"/>
      <c r="BQ39" s="5399" t="s">
        <v>454</v>
      </c>
      <c r="BR39" s="5396" t="s">
        <v>453</v>
      </c>
      <c r="BS39" s="5397"/>
      <c r="BT39" s="5397"/>
      <c r="BU39" s="5397"/>
      <c r="BV39" s="5397"/>
      <c r="BW39" s="5397"/>
      <c r="BX39" s="5398"/>
      <c r="BY39" s="5399" t="s">
        <v>454</v>
      </c>
      <c r="BZ39" s="5396" t="s">
        <v>453</v>
      </c>
      <c r="CA39" s="5397"/>
      <c r="CB39" s="5397"/>
      <c r="CC39" s="5397"/>
      <c r="CD39" s="5397"/>
      <c r="CE39" s="5397"/>
      <c r="CF39" s="5398"/>
      <c r="CG39" s="5399" t="s">
        <v>454</v>
      </c>
      <c r="CH39" s="5396" t="s">
        <v>453</v>
      </c>
      <c r="CI39" s="5397"/>
      <c r="CJ39" s="5397"/>
      <c r="CK39" s="5397"/>
      <c r="CL39" s="5397"/>
      <c r="CM39" s="5397"/>
      <c r="CN39" s="5398"/>
      <c r="CO39" s="5399" t="s">
        <v>454</v>
      </c>
      <c r="CP39" s="5396" t="s">
        <v>453</v>
      </c>
      <c r="CQ39" s="5397"/>
      <c r="CR39" s="5397"/>
      <c r="CS39" s="5397"/>
      <c r="CT39" s="5397"/>
      <c r="CU39" s="5397"/>
      <c r="CV39" s="5398"/>
      <c r="CW39" s="5399" t="s">
        <v>454</v>
      </c>
      <c r="CX39" s="5396" t="s">
        <v>453</v>
      </c>
      <c r="CY39" s="5397"/>
      <c r="CZ39" s="5397"/>
      <c r="DA39" s="5397"/>
      <c r="DB39" s="5397"/>
      <c r="DC39" s="5397"/>
      <c r="DD39" s="5398"/>
      <c r="DE39" s="5411" t="s">
        <v>454</v>
      </c>
      <c r="DF39" s="5402" t="s">
        <v>456</v>
      </c>
      <c r="DG39" s="5235"/>
      <c r="DM39" s="1081">
        <v>14</v>
      </c>
    </row>
    <row r="40" spans="1:117" ht="35.65" customHeight="1">
      <c r="Q40" s="312"/>
      <c r="R40" s="312"/>
      <c r="S40" s="5395"/>
      <c r="T40" s="5339"/>
      <c r="U40" s="960"/>
      <c r="V40" s="5311" t="s">
        <v>457</v>
      </c>
      <c r="W40" s="5390" t="s">
        <v>458</v>
      </c>
      <c r="X40" s="5217" t="s">
        <v>459</v>
      </c>
      <c r="Y40" s="5216"/>
      <c r="Z40" s="5217" t="s">
        <v>460</v>
      </c>
      <c r="AA40" s="5222"/>
      <c r="AB40" s="5216"/>
      <c r="AC40" s="5400"/>
      <c r="AD40" s="5311" t="s">
        <v>457</v>
      </c>
      <c r="AE40" s="5390" t="s">
        <v>458</v>
      </c>
      <c r="AF40" s="5217" t="s">
        <v>459</v>
      </c>
      <c r="AG40" s="5216"/>
      <c r="AH40" s="5217" t="s">
        <v>460</v>
      </c>
      <c r="AI40" s="5222"/>
      <c r="AJ40" s="5216"/>
      <c r="AK40" s="5400"/>
      <c r="AL40" s="5311" t="s">
        <v>457</v>
      </c>
      <c r="AM40" s="5390" t="s">
        <v>458</v>
      </c>
      <c r="AN40" s="5217" t="s">
        <v>459</v>
      </c>
      <c r="AO40" s="5216"/>
      <c r="AP40" s="5217" t="s">
        <v>460</v>
      </c>
      <c r="AQ40" s="5222"/>
      <c r="AR40" s="5216"/>
      <c r="AS40" s="5400"/>
      <c r="AT40" s="5311" t="s">
        <v>457</v>
      </c>
      <c r="AU40" s="5390" t="s">
        <v>458</v>
      </c>
      <c r="AV40" s="5217" t="s">
        <v>459</v>
      </c>
      <c r="AW40" s="5216"/>
      <c r="AX40" s="5217" t="s">
        <v>460</v>
      </c>
      <c r="AY40" s="5222"/>
      <c r="AZ40" s="5216"/>
      <c r="BA40" s="5400"/>
      <c r="BB40" s="5311" t="s">
        <v>457</v>
      </c>
      <c r="BC40" s="5390" t="s">
        <v>458</v>
      </c>
      <c r="BD40" s="5217" t="s">
        <v>459</v>
      </c>
      <c r="BE40" s="5216"/>
      <c r="BF40" s="5217" t="s">
        <v>460</v>
      </c>
      <c r="BG40" s="5222"/>
      <c r="BH40" s="5216"/>
      <c r="BI40" s="5400"/>
      <c r="BJ40" s="5311" t="s">
        <v>457</v>
      </c>
      <c r="BK40" s="5390" t="s">
        <v>458</v>
      </c>
      <c r="BL40" s="5217" t="s">
        <v>459</v>
      </c>
      <c r="BM40" s="5216"/>
      <c r="BN40" s="5217" t="s">
        <v>460</v>
      </c>
      <c r="BO40" s="5222"/>
      <c r="BP40" s="5216"/>
      <c r="BQ40" s="5400"/>
      <c r="BR40" s="5311" t="s">
        <v>457</v>
      </c>
      <c r="BS40" s="5390" t="s">
        <v>458</v>
      </c>
      <c r="BT40" s="5217" t="s">
        <v>459</v>
      </c>
      <c r="BU40" s="5216"/>
      <c r="BV40" s="5217" t="s">
        <v>460</v>
      </c>
      <c r="BW40" s="5222"/>
      <c r="BX40" s="5216"/>
      <c r="BY40" s="5400"/>
      <c r="BZ40" s="5311" t="s">
        <v>457</v>
      </c>
      <c r="CA40" s="5390" t="s">
        <v>458</v>
      </c>
      <c r="CB40" s="5217" t="s">
        <v>459</v>
      </c>
      <c r="CC40" s="5216"/>
      <c r="CD40" s="5217" t="s">
        <v>460</v>
      </c>
      <c r="CE40" s="5222"/>
      <c r="CF40" s="5216"/>
      <c r="CG40" s="5400"/>
      <c r="CH40" s="5311" t="s">
        <v>457</v>
      </c>
      <c r="CI40" s="5390" t="s">
        <v>458</v>
      </c>
      <c r="CJ40" s="5217" t="s">
        <v>459</v>
      </c>
      <c r="CK40" s="5216"/>
      <c r="CL40" s="5217" t="s">
        <v>460</v>
      </c>
      <c r="CM40" s="5222"/>
      <c r="CN40" s="5216"/>
      <c r="CO40" s="5400"/>
      <c r="CP40" s="5311" t="s">
        <v>457</v>
      </c>
      <c r="CQ40" s="5390" t="s">
        <v>458</v>
      </c>
      <c r="CR40" s="5217" t="s">
        <v>459</v>
      </c>
      <c r="CS40" s="5216"/>
      <c r="CT40" s="5217" t="s">
        <v>460</v>
      </c>
      <c r="CU40" s="5222"/>
      <c r="CV40" s="5216"/>
      <c r="CW40" s="5400"/>
      <c r="CX40" s="5311" t="s">
        <v>457</v>
      </c>
      <c r="CY40" s="5390" t="s">
        <v>458</v>
      </c>
      <c r="CZ40" s="5217" t="s">
        <v>459</v>
      </c>
      <c r="DA40" s="5216"/>
      <c r="DB40" s="5217" t="s">
        <v>460</v>
      </c>
      <c r="DC40" s="5222"/>
      <c r="DD40" s="5216"/>
      <c r="DE40" s="5412"/>
      <c r="DF40" s="5403"/>
      <c r="DG40" s="5235"/>
      <c r="DM40" s="1081">
        <v>34</v>
      </c>
    </row>
    <row r="41" spans="1:117" ht="35.65" customHeight="1">
      <c r="A41" s="1296"/>
      <c r="B41" s="1296" t="s">
        <v>137</v>
      </c>
      <c r="C41" s="1296" t="s">
        <v>138</v>
      </c>
      <c r="D41" s="1296" t="s">
        <v>139</v>
      </c>
      <c r="E41" s="1290" t="s">
        <v>461</v>
      </c>
      <c r="F41" s="1290" t="s">
        <v>462</v>
      </c>
      <c r="G41" s="1290" t="s">
        <v>463</v>
      </c>
      <c r="H41" s="1290" t="s">
        <v>464</v>
      </c>
      <c r="I41" s="1290" t="s">
        <v>465</v>
      </c>
      <c r="J41" s="1290" t="s">
        <v>466</v>
      </c>
      <c r="K41" s="1290" t="s">
        <v>467</v>
      </c>
      <c r="L41" s="1290" t="s">
        <v>442</v>
      </c>
      <c r="Q41" s="312"/>
      <c r="R41" s="312"/>
      <c r="S41" s="5395"/>
      <c r="T41" s="5339"/>
      <c r="U41" s="239"/>
      <c r="V41" s="5364"/>
      <c r="W41" s="5391"/>
      <c r="X41" s="1148" t="s">
        <v>468</v>
      </c>
      <c r="Y41" s="1148" t="s">
        <v>469</v>
      </c>
      <c r="Z41" s="1147" t="s">
        <v>470</v>
      </c>
      <c r="AA41" s="5344" t="s">
        <v>471</v>
      </c>
      <c r="AB41" s="5358"/>
      <c r="AC41" s="5401"/>
      <c r="AD41" s="5364"/>
      <c r="AE41" s="5391"/>
      <c r="AF41" s="1148" t="s">
        <v>468</v>
      </c>
      <c r="AG41" s="1148" t="s">
        <v>469</v>
      </c>
      <c r="AH41" s="1239" t="s">
        <v>470</v>
      </c>
      <c r="AI41" s="5344" t="s">
        <v>471</v>
      </c>
      <c r="AJ41" s="5358"/>
      <c r="AK41" s="5401"/>
      <c r="AL41" s="5364"/>
      <c r="AM41" s="5391"/>
      <c r="AN41" s="2022" t="s">
        <v>468</v>
      </c>
      <c r="AO41" s="2022" t="s">
        <v>469</v>
      </c>
      <c r="AP41" s="2022" t="s">
        <v>470</v>
      </c>
      <c r="AQ41" s="5344" t="s">
        <v>471</v>
      </c>
      <c r="AR41" s="5358"/>
      <c r="AS41" s="5401"/>
      <c r="AT41" s="5364"/>
      <c r="AU41" s="5391"/>
      <c r="AV41" s="2022" t="s">
        <v>468</v>
      </c>
      <c r="AW41" s="2022" t="s">
        <v>469</v>
      </c>
      <c r="AX41" s="2022" t="s">
        <v>470</v>
      </c>
      <c r="AY41" s="5344" t="s">
        <v>471</v>
      </c>
      <c r="AZ41" s="5358"/>
      <c r="BA41" s="5401"/>
      <c r="BB41" s="5364"/>
      <c r="BC41" s="5391"/>
      <c r="BD41" s="2022" t="s">
        <v>468</v>
      </c>
      <c r="BE41" s="2022" t="s">
        <v>469</v>
      </c>
      <c r="BF41" s="2022" t="s">
        <v>470</v>
      </c>
      <c r="BG41" s="5344" t="s">
        <v>471</v>
      </c>
      <c r="BH41" s="5358"/>
      <c r="BI41" s="5401"/>
      <c r="BJ41" s="5364"/>
      <c r="BK41" s="5391"/>
      <c r="BL41" s="2022" t="s">
        <v>468</v>
      </c>
      <c r="BM41" s="2022" t="s">
        <v>469</v>
      </c>
      <c r="BN41" s="2022" t="s">
        <v>470</v>
      </c>
      <c r="BO41" s="5344" t="s">
        <v>471</v>
      </c>
      <c r="BP41" s="5358"/>
      <c r="BQ41" s="5401"/>
      <c r="BR41" s="5364"/>
      <c r="BS41" s="5391"/>
      <c r="BT41" s="2022" t="s">
        <v>468</v>
      </c>
      <c r="BU41" s="2022" t="s">
        <v>469</v>
      </c>
      <c r="BV41" s="2022" t="s">
        <v>470</v>
      </c>
      <c r="BW41" s="5344" t="s">
        <v>471</v>
      </c>
      <c r="BX41" s="5358"/>
      <c r="BY41" s="5401"/>
      <c r="BZ41" s="5364"/>
      <c r="CA41" s="5391"/>
      <c r="CB41" s="2022" t="s">
        <v>468</v>
      </c>
      <c r="CC41" s="2022" t="s">
        <v>469</v>
      </c>
      <c r="CD41" s="2022" t="s">
        <v>470</v>
      </c>
      <c r="CE41" s="5344" t="s">
        <v>471</v>
      </c>
      <c r="CF41" s="5358"/>
      <c r="CG41" s="5401"/>
      <c r="CH41" s="5364"/>
      <c r="CI41" s="5391"/>
      <c r="CJ41" s="2022" t="s">
        <v>468</v>
      </c>
      <c r="CK41" s="2022" t="s">
        <v>469</v>
      </c>
      <c r="CL41" s="2022" t="s">
        <v>470</v>
      </c>
      <c r="CM41" s="5344" t="s">
        <v>471</v>
      </c>
      <c r="CN41" s="5358"/>
      <c r="CO41" s="5401"/>
      <c r="CP41" s="5364"/>
      <c r="CQ41" s="5391"/>
      <c r="CR41" s="2022" t="s">
        <v>468</v>
      </c>
      <c r="CS41" s="2022" t="s">
        <v>469</v>
      </c>
      <c r="CT41" s="2022" t="s">
        <v>470</v>
      </c>
      <c r="CU41" s="5344" t="s">
        <v>471</v>
      </c>
      <c r="CV41" s="5358"/>
      <c r="CW41" s="5401"/>
      <c r="CX41" s="5364"/>
      <c r="CY41" s="5391"/>
      <c r="CZ41" s="2022" t="s">
        <v>468</v>
      </c>
      <c r="DA41" s="2022" t="s">
        <v>469</v>
      </c>
      <c r="DB41" s="2022" t="s">
        <v>470</v>
      </c>
      <c r="DC41" s="5344" t="s">
        <v>471</v>
      </c>
      <c r="DD41" s="5358"/>
      <c r="DE41" s="5413"/>
      <c r="DF41" s="5404"/>
      <c r="DG41" s="5235"/>
      <c r="DM41" s="1081">
        <v>34</v>
      </c>
    </row>
    <row r="42" spans="1:117"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182">
        <f ca="1">OFFSET(V42,0,-1)+1</f>
        <v>3</v>
      </c>
      <c r="W42" s="1182"/>
      <c r="X42" s="1182">
        <f ca="1">OFFSET(X42,0,-1)+1</f>
        <v>1</v>
      </c>
      <c r="Y42" s="1182">
        <f ca="1">OFFSET(Y42,0,-1)+1</f>
        <v>2</v>
      </c>
      <c r="Z42" s="1182">
        <f ca="1">OFFSET(Z42,0,-1)+1</f>
        <v>3</v>
      </c>
      <c r="AA42" s="5392">
        <f ca="1">OFFSET(AA42,0,-1)+1</f>
        <v>4</v>
      </c>
      <c r="AB42" s="5392"/>
      <c r="AC42" s="1182">
        <f ca="1">OFFSET(AC42,0,-2)+1</f>
        <v>5</v>
      </c>
      <c r="AD42" s="1238">
        <f ca="1">OFFSET(AD42,0,-1)+1</f>
        <v>6</v>
      </c>
      <c r="AE42" s="1238"/>
      <c r="AF42" s="1238">
        <f ca="1">OFFSET(AF42,0,-1)+1</f>
        <v>1</v>
      </c>
      <c r="AG42" s="1238">
        <f ca="1">OFFSET(AG42,0,-1)+1</f>
        <v>2</v>
      </c>
      <c r="AH42" s="1238">
        <f ca="1">OFFSET(AH42,0,-1)+1</f>
        <v>3</v>
      </c>
      <c r="AI42" s="5392">
        <f ca="1">OFFSET(AI42,0,-1)+1</f>
        <v>4</v>
      </c>
      <c r="AJ42" s="5392"/>
      <c r="AK42" s="1238">
        <f ca="1">OFFSET(AK42,0,-2)+1</f>
        <v>5</v>
      </c>
      <c r="AL42" s="2011">
        <f ca="1">OFFSET(AL42,0,-1)+1</f>
        <v>6</v>
      </c>
      <c r="AM42" s="2011"/>
      <c r="AN42" s="2011">
        <f ca="1">OFFSET(AN42,0,-1)+1</f>
        <v>1</v>
      </c>
      <c r="AO42" s="2011">
        <f ca="1">OFFSET(AO42,0,-1)+1</f>
        <v>2</v>
      </c>
      <c r="AP42" s="2011">
        <f ca="1">OFFSET(AP42,0,-1)+1</f>
        <v>3</v>
      </c>
      <c r="AQ42" s="5392">
        <f ca="1">OFFSET(AQ42,0,-1)+1</f>
        <v>4</v>
      </c>
      <c r="AR42" s="5392"/>
      <c r="AS42" s="2011">
        <f ca="1">OFFSET(AS42,0,-2)+1</f>
        <v>5</v>
      </c>
      <c r="AT42" s="2011">
        <f ca="1">OFFSET(AT42,0,-1)+1</f>
        <v>6</v>
      </c>
      <c r="AU42" s="2011"/>
      <c r="AV42" s="2011">
        <f ca="1">OFFSET(AV42,0,-1)+1</f>
        <v>1</v>
      </c>
      <c r="AW42" s="2011">
        <f ca="1">OFFSET(AW42,0,-1)+1</f>
        <v>2</v>
      </c>
      <c r="AX42" s="2011">
        <f ca="1">OFFSET(AX42,0,-1)+1</f>
        <v>3</v>
      </c>
      <c r="AY42" s="5392">
        <f ca="1">OFFSET(AY42,0,-1)+1</f>
        <v>4</v>
      </c>
      <c r="AZ42" s="5392"/>
      <c r="BA42" s="2011">
        <f ca="1">OFFSET(BA42,0,-2)+1</f>
        <v>5</v>
      </c>
      <c r="BB42" s="2011">
        <f ca="1">OFFSET(BB42,0,-1)+1</f>
        <v>6</v>
      </c>
      <c r="BC42" s="2011"/>
      <c r="BD42" s="2011">
        <f ca="1">OFFSET(BD42,0,-1)+1</f>
        <v>1</v>
      </c>
      <c r="BE42" s="2011">
        <f ca="1">OFFSET(BE42,0,-1)+1</f>
        <v>2</v>
      </c>
      <c r="BF42" s="2011">
        <f ca="1">OFFSET(BF42,0,-1)+1</f>
        <v>3</v>
      </c>
      <c r="BG42" s="5392">
        <f ca="1">OFFSET(BG42,0,-1)+1</f>
        <v>4</v>
      </c>
      <c r="BH42" s="5392"/>
      <c r="BI42" s="2011">
        <f ca="1">OFFSET(BI42,0,-2)+1</f>
        <v>5</v>
      </c>
      <c r="BJ42" s="2011">
        <f ca="1">OFFSET(BJ42,0,-1)+1</f>
        <v>6</v>
      </c>
      <c r="BK42" s="2011"/>
      <c r="BL42" s="2011">
        <f ca="1">OFFSET(BL42,0,-1)+1</f>
        <v>1</v>
      </c>
      <c r="BM42" s="2011">
        <f ca="1">OFFSET(BM42,0,-1)+1</f>
        <v>2</v>
      </c>
      <c r="BN42" s="2011">
        <f ca="1">OFFSET(BN42,0,-1)+1</f>
        <v>3</v>
      </c>
      <c r="BO42" s="5392">
        <f ca="1">OFFSET(BO42,0,-1)+1</f>
        <v>4</v>
      </c>
      <c r="BP42" s="5392"/>
      <c r="BQ42" s="2011">
        <f ca="1">OFFSET(BQ42,0,-2)+1</f>
        <v>5</v>
      </c>
      <c r="BR42" s="2011">
        <f ca="1">OFFSET(BR42,0,-1)+1</f>
        <v>6</v>
      </c>
      <c r="BS42" s="2011"/>
      <c r="BT42" s="2011">
        <f ca="1">OFFSET(BT42,0,-1)+1</f>
        <v>1</v>
      </c>
      <c r="BU42" s="2011">
        <f ca="1">OFFSET(BU42,0,-1)+1</f>
        <v>2</v>
      </c>
      <c r="BV42" s="2011">
        <f ca="1">OFFSET(BV42,0,-1)+1</f>
        <v>3</v>
      </c>
      <c r="BW42" s="5392">
        <f ca="1">OFFSET(BW42,0,-1)+1</f>
        <v>4</v>
      </c>
      <c r="BX42" s="5392"/>
      <c r="BY42" s="2011">
        <f ca="1">OFFSET(BY42,0,-2)+1</f>
        <v>5</v>
      </c>
      <c r="BZ42" s="2011">
        <f ca="1">OFFSET(BZ42,0,-1)+1</f>
        <v>6</v>
      </c>
      <c r="CA42" s="2011"/>
      <c r="CB42" s="2011">
        <f ca="1">OFFSET(CB42,0,-1)+1</f>
        <v>1</v>
      </c>
      <c r="CC42" s="2011">
        <f ca="1">OFFSET(CC42,0,-1)+1</f>
        <v>2</v>
      </c>
      <c r="CD42" s="2011">
        <f ca="1">OFFSET(CD42,0,-1)+1</f>
        <v>3</v>
      </c>
      <c r="CE42" s="5392">
        <f ca="1">OFFSET(CE42,0,-1)+1</f>
        <v>4</v>
      </c>
      <c r="CF42" s="5392"/>
      <c r="CG42" s="2011">
        <f ca="1">OFFSET(CG42,0,-2)+1</f>
        <v>5</v>
      </c>
      <c r="CH42" s="2011">
        <f ca="1">OFFSET(CH42,0,-1)+1</f>
        <v>6</v>
      </c>
      <c r="CI42" s="2011"/>
      <c r="CJ42" s="2011">
        <f ca="1">OFFSET(CJ42,0,-1)+1</f>
        <v>1</v>
      </c>
      <c r="CK42" s="2011">
        <f ca="1">OFFSET(CK42,0,-1)+1</f>
        <v>2</v>
      </c>
      <c r="CL42" s="2011">
        <f ca="1">OFFSET(CL42,0,-1)+1</f>
        <v>3</v>
      </c>
      <c r="CM42" s="5392">
        <f ca="1">OFFSET(CM42,0,-1)+1</f>
        <v>4</v>
      </c>
      <c r="CN42" s="5392"/>
      <c r="CO42" s="2011">
        <f ca="1">OFFSET(CO42,0,-2)+1</f>
        <v>5</v>
      </c>
      <c r="CP42" s="2011">
        <f ca="1">OFFSET(CP42,0,-1)+1</f>
        <v>6</v>
      </c>
      <c r="CQ42" s="2011"/>
      <c r="CR42" s="2011">
        <f ca="1">OFFSET(CR42,0,-1)+1</f>
        <v>1</v>
      </c>
      <c r="CS42" s="2011">
        <f ca="1">OFFSET(CS42,0,-1)+1</f>
        <v>2</v>
      </c>
      <c r="CT42" s="2011">
        <f ca="1">OFFSET(CT42,0,-1)+1</f>
        <v>3</v>
      </c>
      <c r="CU42" s="5392">
        <f ca="1">OFFSET(CU42,0,-1)+1</f>
        <v>4</v>
      </c>
      <c r="CV42" s="5392"/>
      <c r="CW42" s="2011">
        <f ca="1">OFFSET(CW42,0,-2)+1</f>
        <v>5</v>
      </c>
      <c r="CX42" s="2011">
        <f ca="1">OFFSET(CX42,0,-1)+1</f>
        <v>6</v>
      </c>
      <c r="CY42" s="2011"/>
      <c r="CZ42" s="2011">
        <f ca="1">OFFSET(CZ42,0,-1)+1</f>
        <v>1</v>
      </c>
      <c r="DA42" s="2011">
        <f ca="1">OFFSET(DA42,0,-1)+1</f>
        <v>2</v>
      </c>
      <c r="DB42" s="2011">
        <f ca="1">OFFSET(DB42,0,-1)+1</f>
        <v>3</v>
      </c>
      <c r="DC42" s="5392">
        <f ca="1">OFFSET(DC42,0,-1)+1</f>
        <v>4</v>
      </c>
      <c r="DD42" s="5392"/>
      <c r="DE42" s="5167">
        <f ca="1">OFFSET(DE42,0,-2)+1</f>
        <v>5</v>
      </c>
      <c r="DF42" s="1171">
        <f ca="1">OFFSET(DF42,0,-1)</f>
        <v>5</v>
      </c>
      <c r="DG42" s="1182">
        <f ca="1">OFFSET(DG42,0,-1)+1</f>
        <v>6</v>
      </c>
      <c r="DH42" s="447"/>
      <c r="DI42" s="447"/>
      <c r="DJ42" s="447"/>
      <c r="DK42" s="447"/>
      <c r="DL42" s="447"/>
      <c r="DM42" s="432">
        <v>0</v>
      </c>
    </row>
    <row r="43" spans="1:117" ht="24" customHeight="1">
      <c r="A43" s="1289" t="s">
        <v>159</v>
      </c>
      <c r="B43" s="1289"/>
      <c r="C43" s="1289"/>
      <c r="D43" s="1289"/>
      <c r="E43" s="5381">
        <v>1</v>
      </c>
      <c r="F43" s="1289"/>
      <c r="G43" s="1289"/>
      <c r="H43" s="1289"/>
      <c r="I43" s="1289"/>
      <c r="J43" s="1289"/>
      <c r="K43" s="1289"/>
      <c r="L43" s="1290"/>
      <c r="M43" s="1291"/>
      <c r="N43" s="1291"/>
      <c r="O43" s="1291"/>
      <c r="P43" s="297"/>
      <c r="Q43" s="296"/>
      <c r="R43" s="291"/>
      <c r="S43" s="1150">
        <f>INDEX(PT_DIFFERENTIATION_NUM_NTAR,MATCH(A43,PT_DIFFERENTIATION_NTAR_ID,0))</f>
        <v>1</v>
      </c>
      <c r="T43" s="235" t="s">
        <v>125</v>
      </c>
      <c r="U43" s="237"/>
      <c r="V43" s="5373"/>
      <c r="W43" s="5374"/>
      <c r="X43" s="5374"/>
      <c r="Y43" s="5374"/>
      <c r="Z43" s="5374"/>
      <c r="AA43" s="5374"/>
      <c r="AB43" s="5374"/>
      <c r="AC43" s="5375"/>
      <c r="AD43" s="5373" t="str">
        <f>INDEX(PT_DIFFERENTIATION_NTAR,MATCH(A43,PT_DIFFERENTIATION_NTAR_ID,0))</f>
        <v>Тариф на тепловую энергию, поставляемую ПАО "ТГК-1" потребителям, расположенным на территории Санкт-Петербурга</v>
      </c>
      <c r="AE43" s="5374"/>
      <c r="AF43" s="5374"/>
      <c r="AG43" s="5374"/>
      <c r="AH43" s="5374"/>
      <c r="AI43" s="5374"/>
      <c r="AJ43" s="5374"/>
      <c r="AK43" s="5374"/>
      <c r="AL43" s="5373"/>
      <c r="AM43" s="5374"/>
      <c r="AN43" s="5374"/>
      <c r="AO43" s="5374"/>
      <c r="AP43" s="5374"/>
      <c r="AQ43" s="5374"/>
      <c r="AR43" s="5374"/>
      <c r="AS43" s="5375"/>
      <c r="AT43" s="5373"/>
      <c r="AU43" s="5374"/>
      <c r="AV43" s="5374"/>
      <c r="AW43" s="5374"/>
      <c r="AX43" s="5374"/>
      <c r="AY43" s="5374"/>
      <c r="AZ43" s="5374"/>
      <c r="BA43" s="5375"/>
      <c r="BB43" s="5373"/>
      <c r="BC43" s="5374"/>
      <c r="BD43" s="5374"/>
      <c r="BE43" s="5374"/>
      <c r="BF43" s="5374"/>
      <c r="BG43" s="5374"/>
      <c r="BH43" s="5374"/>
      <c r="BI43" s="5375"/>
      <c r="BJ43" s="5373"/>
      <c r="BK43" s="5374"/>
      <c r="BL43" s="5374"/>
      <c r="BM43" s="5374"/>
      <c r="BN43" s="5374"/>
      <c r="BO43" s="5374"/>
      <c r="BP43" s="5374"/>
      <c r="BQ43" s="5375"/>
      <c r="BR43" s="5373"/>
      <c r="BS43" s="5374"/>
      <c r="BT43" s="5374"/>
      <c r="BU43" s="5374"/>
      <c r="BV43" s="5374"/>
      <c r="BW43" s="5374"/>
      <c r="BX43" s="5374"/>
      <c r="BY43" s="5375"/>
      <c r="BZ43" s="5373"/>
      <c r="CA43" s="5374"/>
      <c r="CB43" s="5374"/>
      <c r="CC43" s="5374"/>
      <c r="CD43" s="5374"/>
      <c r="CE43" s="5374"/>
      <c r="CF43" s="5374"/>
      <c r="CG43" s="5375"/>
      <c r="CH43" s="5373"/>
      <c r="CI43" s="5374"/>
      <c r="CJ43" s="5374"/>
      <c r="CK43" s="5374"/>
      <c r="CL43" s="5374"/>
      <c r="CM43" s="5374"/>
      <c r="CN43" s="5374"/>
      <c r="CO43" s="5375"/>
      <c r="CP43" s="5373"/>
      <c r="CQ43" s="5374"/>
      <c r="CR43" s="5374"/>
      <c r="CS43" s="5374"/>
      <c r="CT43" s="5374"/>
      <c r="CU43" s="5374"/>
      <c r="CV43" s="5374"/>
      <c r="CW43" s="5375"/>
      <c r="CX43" s="5373"/>
      <c r="CY43" s="5374"/>
      <c r="CZ43" s="5374"/>
      <c r="DA43" s="5374"/>
      <c r="DB43" s="5374"/>
      <c r="DC43" s="5374"/>
      <c r="DD43" s="5374"/>
      <c r="DE43" s="5376"/>
      <c r="DF43" s="5375"/>
      <c r="DG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36"/>
      <c r="DJ43" s="436" t="str">
        <f t="shared" ref="DJ43:DJ74" si="1">IF(T43="","",T43)</f>
        <v>Наименование тарифа</v>
      </c>
      <c r="DK43" s="436"/>
      <c r="DL43" s="436"/>
      <c r="DM43" s="1081">
        <v>23</v>
      </c>
    </row>
    <row r="44" spans="1:117" ht="24" customHeight="1">
      <c r="A44" s="1289" t="s">
        <v>159</v>
      </c>
      <c r="B44" s="1289" t="s">
        <v>160</v>
      </c>
      <c r="C44" s="1289"/>
      <c r="D44" s="1289"/>
      <c r="E44" s="5382"/>
      <c r="F44" s="5381">
        <v>1</v>
      </c>
      <c r="G44" s="1289"/>
      <c r="H44" s="1289"/>
      <c r="I44" s="1289"/>
      <c r="J44" s="1289"/>
      <c r="K44" s="1289"/>
      <c r="L44" s="1290"/>
      <c r="M44" s="1291"/>
      <c r="N44" s="1291"/>
      <c r="O44" s="1291"/>
      <c r="P44" s="458"/>
      <c r="Q44" s="288"/>
      <c r="R44" s="289"/>
      <c r="S44" s="1150" t="str">
        <f>INDEX(PT_DIFFERENTIATION_NUM_TER,MATCH(B44,PT_DIFFERENTIATION_TER_ID,0))</f>
        <v>1.1</v>
      </c>
      <c r="T44" s="245" t="s">
        <v>424</v>
      </c>
      <c r="U44" s="237"/>
      <c r="V44" s="5373"/>
      <c r="W44" s="5374"/>
      <c r="X44" s="5374"/>
      <c r="Y44" s="5374"/>
      <c r="Z44" s="5374"/>
      <c r="AA44" s="5374"/>
      <c r="AB44" s="5374"/>
      <c r="AC44" s="5375"/>
      <c r="AD44" s="5373" t="str">
        <f>INDEX(PT_DIFFERENTIATION_TER,MATCH(B44,PT_DIFFERENTIATION_TER_ID,0))</f>
        <v>без дифференциации</v>
      </c>
      <c r="AE44" s="5374"/>
      <c r="AF44" s="5374"/>
      <c r="AG44" s="5374"/>
      <c r="AH44" s="5374"/>
      <c r="AI44" s="5374"/>
      <c r="AJ44" s="5374"/>
      <c r="AK44" s="5374"/>
      <c r="AL44" s="5373"/>
      <c r="AM44" s="5374"/>
      <c r="AN44" s="5374"/>
      <c r="AO44" s="5374"/>
      <c r="AP44" s="5374"/>
      <c r="AQ44" s="5374"/>
      <c r="AR44" s="5374"/>
      <c r="AS44" s="5375"/>
      <c r="AT44" s="5373"/>
      <c r="AU44" s="5374"/>
      <c r="AV44" s="5374"/>
      <c r="AW44" s="5374"/>
      <c r="AX44" s="5374"/>
      <c r="AY44" s="5374"/>
      <c r="AZ44" s="5374"/>
      <c r="BA44" s="5375"/>
      <c r="BB44" s="5373"/>
      <c r="BC44" s="5374"/>
      <c r="BD44" s="5374"/>
      <c r="BE44" s="5374"/>
      <c r="BF44" s="5374"/>
      <c r="BG44" s="5374"/>
      <c r="BH44" s="5374"/>
      <c r="BI44" s="5375"/>
      <c r="BJ44" s="5373"/>
      <c r="BK44" s="5374"/>
      <c r="BL44" s="5374"/>
      <c r="BM44" s="5374"/>
      <c r="BN44" s="5374"/>
      <c r="BO44" s="5374"/>
      <c r="BP44" s="5374"/>
      <c r="BQ44" s="5375"/>
      <c r="BR44" s="5373"/>
      <c r="BS44" s="5374"/>
      <c r="BT44" s="5374"/>
      <c r="BU44" s="5374"/>
      <c r="BV44" s="5374"/>
      <c r="BW44" s="5374"/>
      <c r="BX44" s="5374"/>
      <c r="BY44" s="5375"/>
      <c r="BZ44" s="5373"/>
      <c r="CA44" s="5374"/>
      <c r="CB44" s="5374"/>
      <c r="CC44" s="5374"/>
      <c r="CD44" s="5374"/>
      <c r="CE44" s="5374"/>
      <c r="CF44" s="5374"/>
      <c r="CG44" s="5375"/>
      <c r="CH44" s="5373"/>
      <c r="CI44" s="5374"/>
      <c r="CJ44" s="5374"/>
      <c r="CK44" s="5374"/>
      <c r="CL44" s="5374"/>
      <c r="CM44" s="5374"/>
      <c r="CN44" s="5374"/>
      <c r="CO44" s="5375"/>
      <c r="CP44" s="5373"/>
      <c r="CQ44" s="5374"/>
      <c r="CR44" s="5374"/>
      <c r="CS44" s="5374"/>
      <c r="CT44" s="5374"/>
      <c r="CU44" s="5374"/>
      <c r="CV44" s="5374"/>
      <c r="CW44" s="5375"/>
      <c r="CX44" s="5373"/>
      <c r="CY44" s="5374"/>
      <c r="CZ44" s="5374"/>
      <c r="DA44" s="5374"/>
      <c r="DB44" s="5374"/>
      <c r="DC44" s="5374"/>
      <c r="DD44" s="5374"/>
      <c r="DE44" s="5376"/>
      <c r="DF44" s="5375"/>
      <c r="DG44" s="1184" t="s">
        <v>425</v>
      </c>
      <c r="DI44" s="436"/>
      <c r="DJ44" s="436" t="str">
        <f t="shared" si="1"/>
        <v>Территория действия тарифа</v>
      </c>
      <c r="DK44" s="436"/>
      <c r="DL44" s="436"/>
      <c r="DM44" s="1081">
        <v>23</v>
      </c>
    </row>
    <row r="45" spans="1:117" ht="24" customHeight="1">
      <c r="A45" s="1289" t="s">
        <v>159</v>
      </c>
      <c r="B45" s="1289" t="s">
        <v>160</v>
      </c>
      <c r="C45" s="1289" t="s">
        <v>161</v>
      </c>
      <c r="D45" s="1289"/>
      <c r="E45" s="5382"/>
      <c r="F45" s="5382"/>
      <c r="G45" s="5381">
        <v>1</v>
      </c>
      <c r="H45" s="1289"/>
      <c r="I45" s="1289"/>
      <c r="J45" s="1289"/>
      <c r="K45" s="1289"/>
      <c r="L45" s="1290"/>
      <c r="M45" s="1291"/>
      <c r="N45" s="1291"/>
      <c r="O45" s="1291"/>
      <c r="P45" s="290"/>
      <c r="Q45" s="288"/>
      <c r="R45" s="289"/>
      <c r="S45" s="1150" t="str">
        <f>INDEX(PT_DIFFERENTIATION_NUM_CS,MATCH(C45,PT_DIFFERENTIATION_CS_ID,0))</f>
        <v>1.1.1</v>
      </c>
      <c r="T45" s="246" t="s">
        <v>426</v>
      </c>
      <c r="U45" s="237"/>
      <c r="V45" s="5373"/>
      <c r="W45" s="5374"/>
      <c r="X45" s="5374"/>
      <c r="Y45" s="5374"/>
      <c r="Z45" s="5374"/>
      <c r="AA45" s="5374"/>
      <c r="AB45" s="5374"/>
      <c r="AC45" s="5375"/>
      <c r="AD45" s="5373" t="str">
        <f>INDEX(PT_DIFFERENTIATION_CS,MATCH(C45,PT_DIFFERENTIATION_CS_ID,0))</f>
        <v>без дифференциации</v>
      </c>
      <c r="AE45" s="5374"/>
      <c r="AF45" s="5374"/>
      <c r="AG45" s="5374"/>
      <c r="AH45" s="5374"/>
      <c r="AI45" s="5374"/>
      <c r="AJ45" s="5374"/>
      <c r="AK45" s="5374"/>
      <c r="AL45" s="5373"/>
      <c r="AM45" s="5374"/>
      <c r="AN45" s="5374"/>
      <c r="AO45" s="5374"/>
      <c r="AP45" s="5374"/>
      <c r="AQ45" s="5374"/>
      <c r="AR45" s="5374"/>
      <c r="AS45" s="5375"/>
      <c r="AT45" s="5373"/>
      <c r="AU45" s="5374"/>
      <c r="AV45" s="5374"/>
      <c r="AW45" s="5374"/>
      <c r="AX45" s="5374"/>
      <c r="AY45" s="5374"/>
      <c r="AZ45" s="5374"/>
      <c r="BA45" s="5375"/>
      <c r="BB45" s="5373"/>
      <c r="BC45" s="5374"/>
      <c r="BD45" s="5374"/>
      <c r="BE45" s="5374"/>
      <c r="BF45" s="5374"/>
      <c r="BG45" s="5374"/>
      <c r="BH45" s="5374"/>
      <c r="BI45" s="5375"/>
      <c r="BJ45" s="5373"/>
      <c r="BK45" s="5374"/>
      <c r="BL45" s="5374"/>
      <c r="BM45" s="5374"/>
      <c r="BN45" s="5374"/>
      <c r="BO45" s="5374"/>
      <c r="BP45" s="5374"/>
      <c r="BQ45" s="5375"/>
      <c r="BR45" s="5373"/>
      <c r="BS45" s="5374"/>
      <c r="BT45" s="5374"/>
      <c r="BU45" s="5374"/>
      <c r="BV45" s="5374"/>
      <c r="BW45" s="5374"/>
      <c r="BX45" s="5374"/>
      <c r="BY45" s="5375"/>
      <c r="BZ45" s="5373"/>
      <c r="CA45" s="5374"/>
      <c r="CB45" s="5374"/>
      <c r="CC45" s="5374"/>
      <c r="CD45" s="5374"/>
      <c r="CE45" s="5374"/>
      <c r="CF45" s="5374"/>
      <c r="CG45" s="5375"/>
      <c r="CH45" s="5373"/>
      <c r="CI45" s="5374"/>
      <c r="CJ45" s="5374"/>
      <c r="CK45" s="5374"/>
      <c r="CL45" s="5374"/>
      <c r="CM45" s="5374"/>
      <c r="CN45" s="5374"/>
      <c r="CO45" s="5375"/>
      <c r="CP45" s="5373"/>
      <c r="CQ45" s="5374"/>
      <c r="CR45" s="5374"/>
      <c r="CS45" s="5374"/>
      <c r="CT45" s="5374"/>
      <c r="CU45" s="5374"/>
      <c r="CV45" s="5374"/>
      <c r="CW45" s="5375"/>
      <c r="CX45" s="5373"/>
      <c r="CY45" s="5374"/>
      <c r="CZ45" s="5374"/>
      <c r="DA45" s="5374"/>
      <c r="DB45" s="5374"/>
      <c r="DC45" s="5374"/>
      <c r="DD45" s="5374"/>
      <c r="DE45" s="5376"/>
      <c r="DF45" s="5375"/>
      <c r="DG45" s="1184" t="s">
        <v>427</v>
      </c>
      <c r="DI45" s="436"/>
      <c r="DJ45" s="436" t="str">
        <f t="shared" si="1"/>
        <v xml:space="preserve">Наименование системы теплоснабжения </v>
      </c>
      <c r="DK45" s="436"/>
      <c r="DL45" s="436"/>
      <c r="DM45" s="1081">
        <v>23</v>
      </c>
    </row>
    <row r="46" spans="1:117" ht="24" customHeight="1">
      <c r="A46" s="1289" t="s">
        <v>159</v>
      </c>
      <c r="B46" s="1289" t="s">
        <v>160</v>
      </c>
      <c r="C46" s="1289" t="s">
        <v>161</v>
      </c>
      <c r="D46" s="1289" t="s">
        <v>162</v>
      </c>
      <c r="E46" s="5382"/>
      <c r="F46" s="5382"/>
      <c r="G46" s="5382"/>
      <c r="H46" s="5381">
        <v>1</v>
      </c>
      <c r="I46" s="1289"/>
      <c r="J46" s="1289"/>
      <c r="K46" s="1289"/>
      <c r="L46" s="1290"/>
      <c r="M46" s="1291"/>
      <c r="N46" s="1291"/>
      <c r="O46" s="1291"/>
      <c r="P46" s="290"/>
      <c r="Q46" s="288"/>
      <c r="R46" s="289"/>
      <c r="S46" s="1150" t="str">
        <f>INDEX(PT_DIFFERENTIATION_NUM_IST_TE,MATCH(D46,PT_DIFFERENTIATION_IST_TE_ID,0))</f>
        <v>1.1.1.1</v>
      </c>
      <c r="T46" s="247" t="s">
        <v>428</v>
      </c>
      <c r="U46" s="237"/>
      <c r="V46" s="5373"/>
      <c r="W46" s="5374"/>
      <c r="X46" s="5374"/>
      <c r="Y46" s="5374"/>
      <c r="Z46" s="5374"/>
      <c r="AA46" s="5374"/>
      <c r="AB46" s="5374"/>
      <c r="AC46" s="5375"/>
      <c r="AD46" s="5373" t="str">
        <f>INDEX(PT_DIFFERENTIATION_IST_TE,MATCH(D46,PT_DIFFERENTIATION_IST_TE_ID,0))</f>
        <v>без дифференциации</v>
      </c>
      <c r="AE46" s="5374"/>
      <c r="AF46" s="5374"/>
      <c r="AG46" s="5374"/>
      <c r="AH46" s="5374"/>
      <c r="AI46" s="5374"/>
      <c r="AJ46" s="5374"/>
      <c r="AK46" s="5374"/>
      <c r="AL46" s="5373"/>
      <c r="AM46" s="5374"/>
      <c r="AN46" s="5374"/>
      <c r="AO46" s="5374"/>
      <c r="AP46" s="5374"/>
      <c r="AQ46" s="5374"/>
      <c r="AR46" s="5374"/>
      <c r="AS46" s="5375"/>
      <c r="AT46" s="5373"/>
      <c r="AU46" s="5374"/>
      <c r="AV46" s="5374"/>
      <c r="AW46" s="5374"/>
      <c r="AX46" s="5374"/>
      <c r="AY46" s="5374"/>
      <c r="AZ46" s="5374"/>
      <c r="BA46" s="5375"/>
      <c r="BB46" s="5373"/>
      <c r="BC46" s="5374"/>
      <c r="BD46" s="5374"/>
      <c r="BE46" s="5374"/>
      <c r="BF46" s="5374"/>
      <c r="BG46" s="5374"/>
      <c r="BH46" s="5374"/>
      <c r="BI46" s="5375"/>
      <c r="BJ46" s="5373"/>
      <c r="BK46" s="5374"/>
      <c r="BL46" s="5374"/>
      <c r="BM46" s="5374"/>
      <c r="BN46" s="5374"/>
      <c r="BO46" s="5374"/>
      <c r="BP46" s="5374"/>
      <c r="BQ46" s="5375"/>
      <c r="BR46" s="5373"/>
      <c r="BS46" s="5374"/>
      <c r="BT46" s="5374"/>
      <c r="BU46" s="5374"/>
      <c r="BV46" s="5374"/>
      <c r="BW46" s="5374"/>
      <c r="BX46" s="5374"/>
      <c r="BY46" s="5375"/>
      <c r="BZ46" s="5373"/>
      <c r="CA46" s="5374"/>
      <c r="CB46" s="5374"/>
      <c r="CC46" s="5374"/>
      <c r="CD46" s="5374"/>
      <c r="CE46" s="5374"/>
      <c r="CF46" s="5374"/>
      <c r="CG46" s="5375"/>
      <c r="CH46" s="5373"/>
      <c r="CI46" s="5374"/>
      <c r="CJ46" s="5374"/>
      <c r="CK46" s="5374"/>
      <c r="CL46" s="5374"/>
      <c r="CM46" s="5374"/>
      <c r="CN46" s="5374"/>
      <c r="CO46" s="5375"/>
      <c r="CP46" s="5373"/>
      <c r="CQ46" s="5374"/>
      <c r="CR46" s="5374"/>
      <c r="CS46" s="5374"/>
      <c r="CT46" s="5374"/>
      <c r="CU46" s="5374"/>
      <c r="CV46" s="5374"/>
      <c r="CW46" s="5375"/>
      <c r="CX46" s="5373"/>
      <c r="CY46" s="5374"/>
      <c r="CZ46" s="5374"/>
      <c r="DA46" s="5374"/>
      <c r="DB46" s="5374"/>
      <c r="DC46" s="5374"/>
      <c r="DD46" s="5374"/>
      <c r="DE46" s="5376"/>
      <c r="DF46" s="5375"/>
      <c r="DG46" s="1184" t="s">
        <v>429</v>
      </c>
      <c r="DI46" s="436"/>
      <c r="DJ46" s="436" t="str">
        <f t="shared" si="1"/>
        <v xml:space="preserve">Источник тепловой энергии  </v>
      </c>
      <c r="DK46" s="436"/>
      <c r="DL46" s="436"/>
      <c r="DM46" s="1081">
        <v>23</v>
      </c>
    </row>
    <row r="47" spans="1:117" ht="49.5" customHeight="1">
      <c r="A47" s="1289" t="s">
        <v>159</v>
      </c>
      <c r="B47" s="1289" t="s">
        <v>160</v>
      </c>
      <c r="C47" s="1289" t="s">
        <v>161</v>
      </c>
      <c r="D47" s="1289" t="s">
        <v>162</v>
      </c>
      <c r="E47" s="5382"/>
      <c r="F47" s="5382"/>
      <c r="G47" s="5382"/>
      <c r="H47" s="5382"/>
      <c r="I47" s="5383" t="str">
        <f>S46&amp;".1"</f>
        <v>1.1.1.1.1</v>
      </c>
      <c r="J47" s="1289"/>
      <c r="K47" s="1289"/>
      <c r="L47" s="1290" t="s">
        <v>430</v>
      </c>
      <c r="P47" s="5385">
        <v>1</v>
      </c>
      <c r="Q47" s="1146"/>
      <c r="R47" s="292"/>
      <c r="S47" s="1150" t="str">
        <f>$I47</f>
        <v>1.1.1.1.1</v>
      </c>
      <c r="T47" s="222" t="s">
        <v>431</v>
      </c>
      <c r="U47" s="237"/>
      <c r="V47" s="5366"/>
      <c r="W47" s="5367"/>
      <c r="X47" s="5367"/>
      <c r="Y47" s="5367"/>
      <c r="Z47" s="5367"/>
      <c r="AA47" s="5367"/>
      <c r="AB47" s="5367"/>
      <c r="AC47" s="5368"/>
      <c r="AD47" s="5366" t="s">
        <v>472</v>
      </c>
      <c r="AE47" s="5367"/>
      <c r="AF47" s="5367"/>
      <c r="AG47" s="5367"/>
      <c r="AH47" s="5367"/>
      <c r="AI47" s="5367"/>
      <c r="AJ47" s="5367"/>
      <c r="AK47" s="5367"/>
      <c r="AL47" s="5366"/>
      <c r="AM47" s="5367"/>
      <c r="AN47" s="5367"/>
      <c r="AO47" s="5367"/>
      <c r="AP47" s="5367"/>
      <c r="AQ47" s="5367"/>
      <c r="AR47" s="5367"/>
      <c r="AS47" s="5368"/>
      <c r="AT47" s="5366"/>
      <c r="AU47" s="5367"/>
      <c r="AV47" s="5367"/>
      <c r="AW47" s="5367"/>
      <c r="AX47" s="5367"/>
      <c r="AY47" s="5367"/>
      <c r="AZ47" s="5367"/>
      <c r="BA47" s="5368"/>
      <c r="BB47" s="5366"/>
      <c r="BC47" s="5367"/>
      <c r="BD47" s="5367"/>
      <c r="BE47" s="5367"/>
      <c r="BF47" s="5367"/>
      <c r="BG47" s="5367"/>
      <c r="BH47" s="5367"/>
      <c r="BI47" s="5368"/>
      <c r="BJ47" s="5366"/>
      <c r="BK47" s="5367"/>
      <c r="BL47" s="5367"/>
      <c r="BM47" s="5367"/>
      <c r="BN47" s="5367"/>
      <c r="BO47" s="5367"/>
      <c r="BP47" s="5367"/>
      <c r="BQ47" s="5368"/>
      <c r="BR47" s="5366"/>
      <c r="BS47" s="5367"/>
      <c r="BT47" s="5367"/>
      <c r="BU47" s="5367"/>
      <c r="BV47" s="5367"/>
      <c r="BW47" s="5367"/>
      <c r="BX47" s="5367"/>
      <c r="BY47" s="5368"/>
      <c r="BZ47" s="5366"/>
      <c r="CA47" s="5367"/>
      <c r="CB47" s="5367"/>
      <c r="CC47" s="5367"/>
      <c r="CD47" s="5367"/>
      <c r="CE47" s="5367"/>
      <c r="CF47" s="5367"/>
      <c r="CG47" s="5368"/>
      <c r="CH47" s="5366"/>
      <c r="CI47" s="5367"/>
      <c r="CJ47" s="5367"/>
      <c r="CK47" s="5367"/>
      <c r="CL47" s="5367"/>
      <c r="CM47" s="5367"/>
      <c r="CN47" s="5367"/>
      <c r="CO47" s="5368"/>
      <c r="CP47" s="5366"/>
      <c r="CQ47" s="5367"/>
      <c r="CR47" s="5367"/>
      <c r="CS47" s="5367"/>
      <c r="CT47" s="5367"/>
      <c r="CU47" s="5367"/>
      <c r="CV47" s="5367"/>
      <c r="CW47" s="5368"/>
      <c r="CX47" s="5366"/>
      <c r="CY47" s="5367"/>
      <c r="CZ47" s="5367"/>
      <c r="DA47" s="5367"/>
      <c r="DB47" s="5367"/>
      <c r="DC47" s="5367"/>
      <c r="DD47" s="5367"/>
      <c r="DE47" s="5369"/>
      <c r="DF47" s="5368"/>
      <c r="DG47" s="1184" t="s">
        <v>432</v>
      </c>
      <c r="DI47" s="436"/>
      <c r="DJ47" s="436" t="str">
        <f t="shared" si="1"/>
        <v>Схема подключения теплопотребляющей установки к коллектору источника тепловой энергии</v>
      </c>
      <c r="DK47" s="436"/>
      <c r="DL47" s="436"/>
      <c r="DM47" s="1081">
        <v>47</v>
      </c>
    </row>
    <row r="48" spans="1:117" ht="24" customHeight="1">
      <c r="A48" s="1289" t="s">
        <v>159</v>
      </c>
      <c r="B48" s="1289" t="s">
        <v>160</v>
      </c>
      <c r="C48" s="1289" t="s">
        <v>161</v>
      </c>
      <c r="D48" s="1289" t="s">
        <v>162</v>
      </c>
      <c r="E48" s="5382"/>
      <c r="F48" s="5382"/>
      <c r="G48" s="5382"/>
      <c r="H48" s="5382"/>
      <c r="I48" s="5384"/>
      <c r="J48" s="5383" t="str">
        <f>I47&amp;".1"</f>
        <v>1.1.1.1.1.1</v>
      </c>
      <c r="K48" s="1289"/>
      <c r="L48" s="1290" t="s">
        <v>433</v>
      </c>
      <c r="P48" s="5385"/>
      <c r="Q48" s="5385">
        <v>1</v>
      </c>
      <c r="R48" s="293"/>
      <c r="S48" s="1150" t="str">
        <f>$J48</f>
        <v>1.1.1.1.1.1</v>
      </c>
      <c r="T48" s="223" t="s">
        <v>434</v>
      </c>
      <c r="U48" s="237"/>
      <c r="V48" s="5366"/>
      <c r="W48" s="5367"/>
      <c r="X48" s="5367"/>
      <c r="Y48" s="5367"/>
      <c r="Z48" s="5367"/>
      <c r="AA48" s="5367"/>
      <c r="AB48" s="5367"/>
      <c r="AC48" s="5368"/>
      <c r="AD48" s="5366" t="s">
        <v>472</v>
      </c>
      <c r="AE48" s="5367"/>
      <c r="AF48" s="5367"/>
      <c r="AG48" s="5367"/>
      <c r="AH48" s="5367"/>
      <c r="AI48" s="5367"/>
      <c r="AJ48" s="5367"/>
      <c r="AK48" s="5367"/>
      <c r="AL48" s="5366"/>
      <c r="AM48" s="5367"/>
      <c r="AN48" s="5367"/>
      <c r="AO48" s="5367"/>
      <c r="AP48" s="5367"/>
      <c r="AQ48" s="5367"/>
      <c r="AR48" s="5367"/>
      <c r="AS48" s="5368"/>
      <c r="AT48" s="5366"/>
      <c r="AU48" s="5367"/>
      <c r="AV48" s="5367"/>
      <c r="AW48" s="5367"/>
      <c r="AX48" s="5367"/>
      <c r="AY48" s="5367"/>
      <c r="AZ48" s="5367"/>
      <c r="BA48" s="5368"/>
      <c r="BB48" s="5366"/>
      <c r="BC48" s="5367"/>
      <c r="BD48" s="5367"/>
      <c r="BE48" s="5367"/>
      <c r="BF48" s="5367"/>
      <c r="BG48" s="5367"/>
      <c r="BH48" s="5367"/>
      <c r="BI48" s="5368"/>
      <c r="BJ48" s="5366"/>
      <c r="BK48" s="5367"/>
      <c r="BL48" s="5367"/>
      <c r="BM48" s="5367"/>
      <c r="BN48" s="5367"/>
      <c r="BO48" s="5367"/>
      <c r="BP48" s="5367"/>
      <c r="BQ48" s="5368"/>
      <c r="BR48" s="5366"/>
      <c r="BS48" s="5367"/>
      <c r="BT48" s="5367"/>
      <c r="BU48" s="5367"/>
      <c r="BV48" s="5367"/>
      <c r="BW48" s="5367"/>
      <c r="BX48" s="5367"/>
      <c r="BY48" s="5368"/>
      <c r="BZ48" s="5366"/>
      <c r="CA48" s="5367"/>
      <c r="CB48" s="5367"/>
      <c r="CC48" s="5367"/>
      <c r="CD48" s="5367"/>
      <c r="CE48" s="5367"/>
      <c r="CF48" s="5367"/>
      <c r="CG48" s="5368"/>
      <c r="CH48" s="5366"/>
      <c r="CI48" s="5367"/>
      <c r="CJ48" s="5367"/>
      <c r="CK48" s="5367"/>
      <c r="CL48" s="5367"/>
      <c r="CM48" s="5367"/>
      <c r="CN48" s="5367"/>
      <c r="CO48" s="5368"/>
      <c r="CP48" s="5366"/>
      <c r="CQ48" s="5367"/>
      <c r="CR48" s="5367"/>
      <c r="CS48" s="5367"/>
      <c r="CT48" s="5367"/>
      <c r="CU48" s="5367"/>
      <c r="CV48" s="5367"/>
      <c r="CW48" s="5368"/>
      <c r="CX48" s="5366"/>
      <c r="CY48" s="5367"/>
      <c r="CZ48" s="5367"/>
      <c r="DA48" s="5367"/>
      <c r="DB48" s="5367"/>
      <c r="DC48" s="5367"/>
      <c r="DD48" s="5367"/>
      <c r="DE48" s="5369"/>
      <c r="DF48" s="5368"/>
      <c r="DG48" s="1184" t="s">
        <v>435</v>
      </c>
      <c r="DI48" s="436"/>
      <c r="DJ48" s="436" t="str">
        <f t="shared" si="1"/>
        <v>Группа потребителей</v>
      </c>
      <c r="DK48" s="436"/>
      <c r="DL48" s="436"/>
      <c r="DM48" s="1081">
        <v>23</v>
      </c>
    </row>
    <row r="49" spans="1:117" ht="24" customHeight="1">
      <c r="A49" s="1289" t="s">
        <v>159</v>
      </c>
      <c r="B49" s="1289" t="s">
        <v>160</v>
      </c>
      <c r="C49" s="1289" t="s">
        <v>161</v>
      </c>
      <c r="D49" s="1289" t="s">
        <v>162</v>
      </c>
      <c r="E49" s="5382"/>
      <c r="F49" s="5382"/>
      <c r="G49" s="5382"/>
      <c r="H49" s="5382"/>
      <c r="I49" s="5384"/>
      <c r="J49" s="5384"/>
      <c r="K49" s="5383" t="str">
        <f>J48&amp;".1"</f>
        <v>1.1.1.1.1.1.1</v>
      </c>
      <c r="L49" s="1290" t="s">
        <v>436</v>
      </c>
      <c r="P49" s="5385"/>
      <c r="Q49" s="5385"/>
      <c r="R49" s="293">
        <v>1</v>
      </c>
      <c r="S49" s="1150" t="str">
        <f>$K49</f>
        <v>1.1.1.1.1.1.1</v>
      </c>
      <c r="T49" s="1273" t="s">
        <v>473</v>
      </c>
      <c r="U49" s="237"/>
      <c r="V49" s="687"/>
      <c r="W49" s="262"/>
      <c r="X49" s="687"/>
      <c r="Y49" s="1183"/>
      <c r="Z49" s="5386"/>
      <c r="AA49" s="5245" t="s">
        <v>65</v>
      </c>
      <c r="AB49" s="5386"/>
      <c r="AC49" s="5245" t="s">
        <v>65</v>
      </c>
      <c r="AD49" s="687">
        <v>2059.04</v>
      </c>
      <c r="AE49" s="262"/>
      <c r="AF49" s="687"/>
      <c r="AG49" s="1183"/>
      <c r="AH49" s="5386">
        <v>45292.440694444442</v>
      </c>
      <c r="AI49" s="5245" t="s">
        <v>65</v>
      </c>
      <c r="AJ49" s="5388">
        <v>45473.440798611111</v>
      </c>
      <c r="AK49" s="5245" t="s">
        <v>65</v>
      </c>
      <c r="AL49" s="687">
        <v>2301.8200000000002</v>
      </c>
      <c r="AM49" s="262"/>
      <c r="AN49" s="687"/>
      <c r="AO49" s="1183"/>
      <c r="AP49" s="5386">
        <v>45474.441192129627</v>
      </c>
      <c r="AQ49" s="5245" t="s">
        <v>65</v>
      </c>
      <c r="AR49" s="5386">
        <v>45657.441250000003</v>
      </c>
      <c r="AS49" s="5245" t="s">
        <v>65</v>
      </c>
      <c r="AT49" s="687">
        <v>2306.0100000000002</v>
      </c>
      <c r="AU49" s="262"/>
      <c r="AV49" s="687"/>
      <c r="AW49" s="1183"/>
      <c r="AX49" s="5386">
        <v>45658</v>
      </c>
      <c r="AY49" s="5245" t="s">
        <v>65</v>
      </c>
      <c r="AZ49" s="5386">
        <v>45838</v>
      </c>
      <c r="BA49" s="5245" t="s">
        <v>65</v>
      </c>
      <c r="BB49" s="687">
        <v>2343.79</v>
      </c>
      <c r="BC49" s="262"/>
      <c r="BD49" s="687"/>
      <c r="BE49" s="1183"/>
      <c r="BF49" s="5386">
        <v>45839</v>
      </c>
      <c r="BG49" s="5245" t="s">
        <v>65</v>
      </c>
      <c r="BH49" s="5386">
        <v>46022</v>
      </c>
      <c r="BI49" s="5245" t="s">
        <v>65</v>
      </c>
      <c r="BJ49" s="687">
        <v>2343.79</v>
      </c>
      <c r="BK49" s="262"/>
      <c r="BL49" s="687"/>
      <c r="BM49" s="1183"/>
      <c r="BN49" s="5386">
        <v>46023</v>
      </c>
      <c r="BO49" s="5245" t="s">
        <v>65</v>
      </c>
      <c r="BP49" s="5386">
        <v>46203</v>
      </c>
      <c r="BQ49" s="5245" t="s">
        <v>65</v>
      </c>
      <c r="BR49" s="687">
        <v>2507.79</v>
      </c>
      <c r="BS49" s="262"/>
      <c r="BT49" s="687"/>
      <c r="BU49" s="1183"/>
      <c r="BV49" s="5386">
        <v>46204</v>
      </c>
      <c r="BW49" s="5245" t="s">
        <v>65</v>
      </c>
      <c r="BX49" s="5386">
        <v>46387</v>
      </c>
      <c r="BY49" s="5245" t="s">
        <v>65</v>
      </c>
      <c r="BZ49" s="687">
        <v>2507.79</v>
      </c>
      <c r="CA49" s="262"/>
      <c r="CB49" s="687"/>
      <c r="CC49" s="1183"/>
      <c r="CD49" s="5386">
        <v>46388</v>
      </c>
      <c r="CE49" s="5245" t="s">
        <v>65</v>
      </c>
      <c r="CF49" s="5386">
        <v>46568</v>
      </c>
      <c r="CG49" s="5245" t="s">
        <v>65</v>
      </c>
      <c r="CH49" s="687">
        <v>2515.52</v>
      </c>
      <c r="CI49" s="262"/>
      <c r="CJ49" s="687"/>
      <c r="CK49" s="1183"/>
      <c r="CL49" s="5386">
        <v>46569</v>
      </c>
      <c r="CM49" s="5245" t="s">
        <v>65</v>
      </c>
      <c r="CN49" s="5386">
        <v>46752</v>
      </c>
      <c r="CO49" s="5245" t="s">
        <v>65</v>
      </c>
      <c r="CP49" s="687">
        <v>2515.52</v>
      </c>
      <c r="CQ49" s="262"/>
      <c r="CR49" s="687"/>
      <c r="CS49" s="1183"/>
      <c r="CT49" s="5386">
        <v>46753</v>
      </c>
      <c r="CU49" s="5245" t="s">
        <v>65</v>
      </c>
      <c r="CV49" s="5386">
        <v>46934</v>
      </c>
      <c r="CW49" s="5245" t="s">
        <v>65</v>
      </c>
      <c r="CX49" s="687">
        <v>2649.96</v>
      </c>
      <c r="CY49" s="262"/>
      <c r="CZ49" s="687"/>
      <c r="DA49" s="1183"/>
      <c r="DB49" s="5386">
        <v>46935</v>
      </c>
      <c r="DC49" s="5245" t="s">
        <v>65</v>
      </c>
      <c r="DD49" s="5386">
        <v>47118</v>
      </c>
      <c r="DE49" s="5245" t="s">
        <v>65</v>
      </c>
      <c r="DF49" s="1274"/>
      <c r="DG49" s="5405" t="s">
        <v>437</v>
      </c>
      <c r="DH49" s="447" t="e">
        <f ca="1">STRCHECKDATE(V50:DF50)</f>
        <v>#NAME?</v>
      </c>
      <c r="DI49" s="436"/>
      <c r="DJ49" s="436" t="str">
        <f t="shared" si="1"/>
        <v>вода</v>
      </c>
      <c r="DK49" s="436"/>
      <c r="DL49" s="436"/>
      <c r="DM49" s="1081">
        <v>23</v>
      </c>
    </row>
    <row r="50" spans="1:117" ht="1.1499999999999999" customHeight="1">
      <c r="A50" s="1289" t="s">
        <v>159</v>
      </c>
      <c r="B50" s="1289" t="s">
        <v>160</v>
      </c>
      <c r="C50" s="1289" t="s">
        <v>161</v>
      </c>
      <c r="D50" s="1289" t="s">
        <v>162</v>
      </c>
      <c r="E50" s="5382"/>
      <c r="F50" s="5382"/>
      <c r="G50" s="5382"/>
      <c r="H50" s="5382"/>
      <c r="I50" s="5384"/>
      <c r="J50" s="5384"/>
      <c r="K50" s="5383"/>
      <c r="L50" s="1290"/>
      <c r="P50" s="5385"/>
      <c r="Q50" s="5385"/>
      <c r="R50" s="293"/>
      <c r="S50" s="1149"/>
      <c r="T50" s="237"/>
      <c r="U50" s="237"/>
      <c r="V50" s="262"/>
      <c r="W50" s="262"/>
      <c r="X50" s="262"/>
      <c r="Y50" s="265" t="str">
        <f>Z49&amp;"-"&amp;AB49</f>
        <v>-</v>
      </c>
      <c r="Z50" s="5387"/>
      <c r="AA50" s="5245"/>
      <c r="AB50" s="5387"/>
      <c r="AC50" s="5245"/>
      <c r="AD50" s="262"/>
      <c r="AE50" s="262"/>
      <c r="AF50" s="262"/>
      <c r="AG50" s="265" t="str">
        <f>AH49&amp;"-"&amp;AJ49</f>
        <v>45292,4406944444-45473,4407986111</v>
      </c>
      <c r="AH50" s="5387"/>
      <c r="AI50" s="5245"/>
      <c r="AJ50" s="5389"/>
      <c r="AK50" s="5245"/>
      <c r="AL50" s="262"/>
      <c r="AM50" s="262"/>
      <c r="AN50" s="262"/>
      <c r="AO50" s="265" t="str">
        <f>AP49&amp;"-"&amp;AR49</f>
        <v>45474,4411921296-45657,44125</v>
      </c>
      <c r="AP50" s="5387"/>
      <c r="AQ50" s="5245"/>
      <c r="AR50" s="5387"/>
      <c r="AS50" s="5245"/>
      <c r="AT50" s="262"/>
      <c r="AU50" s="262"/>
      <c r="AV50" s="262"/>
      <c r="AW50" s="265" t="str">
        <f>AX49&amp;"-"&amp;AZ49</f>
        <v>45658-45838</v>
      </c>
      <c r="AX50" s="5387"/>
      <c r="AY50" s="5245"/>
      <c r="AZ50" s="5387"/>
      <c r="BA50" s="5245"/>
      <c r="BB50" s="262"/>
      <c r="BC50" s="262"/>
      <c r="BD50" s="262"/>
      <c r="BE50" s="265" t="str">
        <f>BF49&amp;"-"&amp;BH49</f>
        <v>45839-46022</v>
      </c>
      <c r="BF50" s="5387"/>
      <c r="BG50" s="5245"/>
      <c r="BH50" s="5387"/>
      <c r="BI50" s="5245"/>
      <c r="BJ50" s="262"/>
      <c r="BK50" s="262"/>
      <c r="BL50" s="262"/>
      <c r="BM50" s="265" t="str">
        <f>BN49&amp;"-"&amp;BP49</f>
        <v>46023-46203</v>
      </c>
      <c r="BN50" s="5387"/>
      <c r="BO50" s="5245"/>
      <c r="BP50" s="5387"/>
      <c r="BQ50" s="5245"/>
      <c r="BR50" s="262"/>
      <c r="BS50" s="262"/>
      <c r="BT50" s="262"/>
      <c r="BU50" s="265" t="str">
        <f>BV49&amp;"-"&amp;BX49</f>
        <v>46204-46387</v>
      </c>
      <c r="BV50" s="5387"/>
      <c r="BW50" s="5245"/>
      <c r="BX50" s="5387"/>
      <c r="BY50" s="5245"/>
      <c r="BZ50" s="262"/>
      <c r="CA50" s="262"/>
      <c r="CB50" s="262"/>
      <c r="CC50" s="265" t="str">
        <f>CD49&amp;"-"&amp;CF49</f>
        <v>46388-46568</v>
      </c>
      <c r="CD50" s="5387"/>
      <c r="CE50" s="5245"/>
      <c r="CF50" s="5387"/>
      <c r="CG50" s="5245"/>
      <c r="CH50" s="262"/>
      <c r="CI50" s="262"/>
      <c r="CJ50" s="262"/>
      <c r="CK50" s="265" t="str">
        <f>CL49&amp;"-"&amp;CN49</f>
        <v>46569-46752</v>
      </c>
      <c r="CL50" s="5387"/>
      <c r="CM50" s="5245"/>
      <c r="CN50" s="5387"/>
      <c r="CO50" s="5245"/>
      <c r="CP50" s="262"/>
      <c r="CQ50" s="262"/>
      <c r="CR50" s="262"/>
      <c r="CS50" s="265" t="str">
        <f>CT49&amp;"-"&amp;CV49</f>
        <v>46753-46934</v>
      </c>
      <c r="CT50" s="5387"/>
      <c r="CU50" s="5245"/>
      <c r="CV50" s="5387"/>
      <c r="CW50" s="5245"/>
      <c r="CX50" s="262"/>
      <c r="CY50" s="262"/>
      <c r="CZ50" s="262"/>
      <c r="DA50" s="265" t="str">
        <f>DB49&amp;"-"&amp;DD49</f>
        <v>46935-47118</v>
      </c>
      <c r="DB50" s="5387"/>
      <c r="DC50" s="5245"/>
      <c r="DD50" s="5387"/>
      <c r="DE50" s="5245"/>
      <c r="DF50" s="1275"/>
      <c r="DG50" s="5406"/>
      <c r="DI50" s="436"/>
      <c r="DJ50" s="436" t="str">
        <f t="shared" si="1"/>
        <v/>
      </c>
      <c r="DK50" s="436"/>
      <c r="DL50" s="436"/>
      <c r="DM50" s="1081">
        <v>1</v>
      </c>
    </row>
    <row r="51" spans="1:117" ht="11.45" customHeight="1">
      <c r="A51" s="1289" t="s">
        <v>159</v>
      </c>
      <c r="B51" s="1289" t="s">
        <v>160</v>
      </c>
      <c r="C51" s="1289" t="s">
        <v>161</v>
      </c>
      <c r="D51" s="1289" t="s">
        <v>162</v>
      </c>
      <c r="E51" s="5382"/>
      <c r="F51" s="5382"/>
      <c r="G51" s="5382"/>
      <c r="H51" s="5382"/>
      <c r="I51" s="5384"/>
      <c r="J51" s="5383"/>
      <c r="K51" s="1289"/>
      <c r="L51" s="1290"/>
      <c r="P51" s="5385"/>
      <c r="Q51" s="5385"/>
      <c r="R51" s="292"/>
      <c r="S51" s="1204"/>
      <c r="T51" s="225" t="s">
        <v>438</v>
      </c>
      <c r="U51" s="303"/>
      <c r="V51" s="303"/>
      <c r="W51" s="303"/>
      <c r="X51" s="303"/>
      <c r="Y51" s="303"/>
      <c r="Z51" s="303"/>
      <c r="AA51" s="303"/>
      <c r="AB51" s="303"/>
      <c r="AC51" s="303"/>
      <c r="AD51" s="303"/>
      <c r="AE51" s="303"/>
      <c r="AF51" s="303"/>
      <c r="AG51" s="303"/>
      <c r="AH51" s="303"/>
      <c r="AI51" s="303"/>
      <c r="AJ51" s="303"/>
      <c r="AK51" s="303"/>
      <c r="AL51" s="2679"/>
      <c r="AM51" s="2680"/>
      <c r="AN51" s="2681"/>
      <c r="AO51" s="2682"/>
      <c r="AP51" s="2683"/>
      <c r="AQ51" s="2684"/>
      <c r="AR51" s="2685"/>
      <c r="AS51" s="2686"/>
      <c r="AT51" s="2687"/>
      <c r="AU51" s="2688"/>
      <c r="AV51" s="2689"/>
      <c r="AW51" s="2690"/>
      <c r="AX51" s="2691"/>
      <c r="AY51" s="2692"/>
      <c r="AZ51" s="2693"/>
      <c r="BA51" s="2694"/>
      <c r="BB51" s="2695"/>
      <c r="BC51" s="2696"/>
      <c r="BD51" s="2697"/>
      <c r="BE51" s="2698"/>
      <c r="BF51" s="2699"/>
      <c r="BG51" s="2700"/>
      <c r="BH51" s="2701"/>
      <c r="BI51" s="2702"/>
      <c r="BJ51" s="2703"/>
      <c r="BK51" s="2704"/>
      <c r="BL51" s="2705"/>
      <c r="BM51" s="2706"/>
      <c r="BN51" s="2707"/>
      <c r="BO51" s="2708"/>
      <c r="BP51" s="2709"/>
      <c r="BQ51" s="2710"/>
      <c r="BR51" s="2711"/>
      <c r="BS51" s="2712"/>
      <c r="BT51" s="2713"/>
      <c r="BU51" s="2714"/>
      <c r="BV51" s="2715"/>
      <c r="BW51" s="2716"/>
      <c r="BX51" s="2717"/>
      <c r="BY51" s="2718"/>
      <c r="BZ51" s="2719"/>
      <c r="CA51" s="2720"/>
      <c r="CB51" s="2721"/>
      <c r="CC51" s="2722"/>
      <c r="CD51" s="2723"/>
      <c r="CE51" s="2724"/>
      <c r="CF51" s="2725"/>
      <c r="CG51" s="2726"/>
      <c r="CH51" s="2727"/>
      <c r="CI51" s="2728"/>
      <c r="CJ51" s="2729"/>
      <c r="CK51" s="2730"/>
      <c r="CL51" s="2731"/>
      <c r="CM51" s="2732"/>
      <c r="CN51" s="2733"/>
      <c r="CO51" s="2734"/>
      <c r="CP51" s="2735"/>
      <c r="CQ51" s="2736"/>
      <c r="CR51" s="2737"/>
      <c r="CS51" s="2738"/>
      <c r="CT51" s="2739"/>
      <c r="CU51" s="2740"/>
      <c r="CV51" s="2741"/>
      <c r="CW51" s="2742"/>
      <c r="CX51" s="2743"/>
      <c r="CY51" s="2744"/>
      <c r="CZ51" s="2745"/>
      <c r="DA51" s="2746"/>
      <c r="DB51" s="2747"/>
      <c r="DC51" s="2748"/>
      <c r="DD51" s="2749"/>
      <c r="DE51" s="5168"/>
      <c r="DF51" s="261"/>
      <c r="DG51" s="5407"/>
      <c r="DI51" s="436"/>
      <c r="DJ51" s="436" t="str">
        <f t="shared" si="1"/>
        <v>Добавить вид теплоносителя (параметры теплоносителя)</v>
      </c>
      <c r="DK51" s="436"/>
      <c r="DL51" s="436"/>
      <c r="DM51" s="1081">
        <v>11</v>
      </c>
    </row>
    <row r="52" spans="1:117" s="1774" customFormat="1" ht="21" customHeight="1">
      <c r="A52" s="1289"/>
      <c r="B52" s="1289"/>
      <c r="C52" s="1289"/>
      <c r="D52" s="1289"/>
      <c r="E52" s="5382"/>
      <c r="F52" s="5382"/>
      <c r="G52" s="5382"/>
      <c r="H52" s="5382"/>
      <c r="I52" s="5384"/>
      <c r="J52" s="5383" t="str">
        <f>I47&amp;".2"</f>
        <v>1.1.1.1.1.2</v>
      </c>
      <c r="K52" s="1289"/>
      <c r="L52" s="1295" t="s">
        <v>433</v>
      </c>
      <c r="M52" s="1292"/>
      <c r="N52" s="1292"/>
      <c r="O52" s="1701"/>
      <c r="P52" s="5385"/>
      <c r="Q52" s="5408" t="s">
        <v>166</v>
      </c>
      <c r="R52" s="293"/>
      <c r="S52" s="2012" t="str">
        <f>$J52</f>
        <v>1.1.1.1.1.2</v>
      </c>
      <c r="T52" s="223" t="s">
        <v>434</v>
      </c>
      <c r="U52" s="237"/>
      <c r="V52" s="5366"/>
      <c r="W52" s="5367"/>
      <c r="X52" s="5367"/>
      <c r="Y52" s="5367"/>
      <c r="Z52" s="5367"/>
      <c r="AA52" s="5367"/>
      <c r="AB52" s="5367"/>
      <c r="AC52" s="5368"/>
      <c r="AD52" s="5366" t="s">
        <v>474</v>
      </c>
      <c r="AE52" s="5367"/>
      <c r="AF52" s="5367"/>
      <c r="AG52" s="5367"/>
      <c r="AH52" s="5367"/>
      <c r="AI52" s="5367"/>
      <c r="AJ52" s="5367"/>
      <c r="AK52" s="5367"/>
      <c r="AL52" s="5366"/>
      <c r="AM52" s="5367"/>
      <c r="AN52" s="5367"/>
      <c r="AO52" s="5367"/>
      <c r="AP52" s="5367"/>
      <c r="AQ52" s="5367"/>
      <c r="AR52" s="5367"/>
      <c r="AS52" s="5368"/>
      <c r="AT52" s="5366"/>
      <c r="AU52" s="5367"/>
      <c r="AV52" s="5367"/>
      <c r="AW52" s="5367"/>
      <c r="AX52" s="5367"/>
      <c r="AY52" s="5367"/>
      <c r="AZ52" s="5367"/>
      <c r="BA52" s="5368"/>
      <c r="BB52" s="5366"/>
      <c r="BC52" s="5367"/>
      <c r="BD52" s="5367"/>
      <c r="BE52" s="5367"/>
      <c r="BF52" s="5367"/>
      <c r="BG52" s="5367"/>
      <c r="BH52" s="5367"/>
      <c r="BI52" s="5368"/>
      <c r="BJ52" s="5366"/>
      <c r="BK52" s="5367"/>
      <c r="BL52" s="5367"/>
      <c r="BM52" s="5367"/>
      <c r="BN52" s="5367"/>
      <c r="BO52" s="5367"/>
      <c r="BP52" s="5367"/>
      <c r="BQ52" s="5368"/>
      <c r="BR52" s="5366"/>
      <c r="BS52" s="5367"/>
      <c r="BT52" s="5367"/>
      <c r="BU52" s="5367"/>
      <c r="BV52" s="5367"/>
      <c r="BW52" s="5367"/>
      <c r="BX52" s="5367"/>
      <c r="BY52" s="5368"/>
      <c r="BZ52" s="5366"/>
      <c r="CA52" s="5367"/>
      <c r="CB52" s="5367"/>
      <c r="CC52" s="5367"/>
      <c r="CD52" s="5367"/>
      <c r="CE52" s="5367"/>
      <c r="CF52" s="5367"/>
      <c r="CG52" s="5368"/>
      <c r="CH52" s="5366"/>
      <c r="CI52" s="5367"/>
      <c r="CJ52" s="5367"/>
      <c r="CK52" s="5367"/>
      <c r="CL52" s="5367"/>
      <c r="CM52" s="5367"/>
      <c r="CN52" s="5367"/>
      <c r="CO52" s="5368"/>
      <c r="CP52" s="5366"/>
      <c r="CQ52" s="5367"/>
      <c r="CR52" s="5367"/>
      <c r="CS52" s="5367"/>
      <c r="CT52" s="5367"/>
      <c r="CU52" s="5367"/>
      <c r="CV52" s="5367"/>
      <c r="CW52" s="5368"/>
      <c r="CX52" s="5366"/>
      <c r="CY52" s="5367"/>
      <c r="CZ52" s="5367"/>
      <c r="DA52" s="5367"/>
      <c r="DB52" s="5367"/>
      <c r="DC52" s="5367"/>
      <c r="DD52" s="5367"/>
      <c r="DE52" s="5369"/>
      <c r="DF52" s="5368"/>
      <c r="DG52" s="1184" t="s">
        <v>435</v>
      </c>
      <c r="DH52" s="1568"/>
      <c r="DI52" s="1550"/>
      <c r="DJ52" s="1550" t="str">
        <f t="shared" si="1"/>
        <v>Группа потребителей</v>
      </c>
      <c r="DK52" s="1550"/>
      <c r="DL52" s="1550"/>
      <c r="DM52" s="1561">
        <v>0</v>
      </c>
    </row>
    <row r="53" spans="1:117" s="1774" customFormat="1" ht="21" customHeight="1">
      <c r="A53" s="1289"/>
      <c r="B53" s="1289"/>
      <c r="C53" s="1289"/>
      <c r="D53" s="1289"/>
      <c r="E53" s="5382"/>
      <c r="F53" s="5382"/>
      <c r="G53" s="5382"/>
      <c r="H53" s="5382"/>
      <c r="I53" s="5384"/>
      <c r="J53" s="5384" t="str">
        <f>I47&amp;".1"</f>
        <v>1.1.1.1.1.1</v>
      </c>
      <c r="K53" s="5383" t="str">
        <f>J52&amp;".1"</f>
        <v>1.1.1.1.1.2.1</v>
      </c>
      <c r="L53" s="1295" t="s">
        <v>436</v>
      </c>
      <c r="M53" s="1292"/>
      <c r="N53" s="1292"/>
      <c r="O53" s="1292"/>
      <c r="P53" s="5385"/>
      <c r="Q53" s="5385"/>
      <c r="R53" s="293">
        <v>1</v>
      </c>
      <c r="S53" s="2012" t="str">
        <f>$K53</f>
        <v>1.1.1.1.1.2.1</v>
      </c>
      <c r="T53" s="1273" t="s">
        <v>473</v>
      </c>
      <c r="U53" s="237"/>
      <c r="V53" s="687"/>
      <c r="W53" s="262"/>
      <c r="X53" s="687"/>
      <c r="Y53" s="1183"/>
      <c r="Z53" s="5386"/>
      <c r="AA53" s="5245" t="s">
        <v>65</v>
      </c>
      <c r="AB53" s="5386"/>
      <c r="AC53" s="5245" t="s">
        <v>65</v>
      </c>
      <c r="AD53" s="687">
        <v>1607.48</v>
      </c>
      <c r="AE53" s="262"/>
      <c r="AF53" s="687"/>
      <c r="AG53" s="1183"/>
      <c r="AH53" s="5386">
        <v>45292.442696759259</v>
      </c>
      <c r="AI53" s="5245" t="s">
        <v>65</v>
      </c>
      <c r="AJ53" s="5386">
        <v>45473.442789351851</v>
      </c>
      <c r="AK53" s="5245" t="s">
        <v>65</v>
      </c>
      <c r="AL53" s="687">
        <v>1803.04</v>
      </c>
      <c r="AM53" s="262"/>
      <c r="AN53" s="687"/>
      <c r="AO53" s="1183"/>
      <c r="AP53" s="5386">
        <v>45474.442881944444</v>
      </c>
      <c r="AQ53" s="5245" t="s">
        <v>65</v>
      </c>
      <c r="AR53" s="5386">
        <v>45657.442939814813</v>
      </c>
      <c r="AS53" s="5245" t="s">
        <v>65</v>
      </c>
      <c r="AT53" s="687">
        <v>1806.07</v>
      </c>
      <c r="AU53" s="262"/>
      <c r="AV53" s="687"/>
      <c r="AW53" s="1183"/>
      <c r="AX53" s="5386">
        <v>45658</v>
      </c>
      <c r="AY53" s="5245" t="s">
        <v>65</v>
      </c>
      <c r="AZ53" s="5386">
        <v>45838</v>
      </c>
      <c r="BA53" s="5245" t="s">
        <v>65</v>
      </c>
      <c r="BB53" s="687">
        <v>1835.69</v>
      </c>
      <c r="BC53" s="262"/>
      <c r="BD53" s="687"/>
      <c r="BE53" s="1183"/>
      <c r="BF53" s="5386">
        <v>45839</v>
      </c>
      <c r="BG53" s="5245" t="s">
        <v>65</v>
      </c>
      <c r="BH53" s="5386">
        <v>46022</v>
      </c>
      <c r="BI53" s="5245" t="s">
        <v>65</v>
      </c>
      <c r="BJ53" s="687">
        <v>1835.69</v>
      </c>
      <c r="BK53" s="262"/>
      <c r="BL53" s="687"/>
      <c r="BM53" s="1183"/>
      <c r="BN53" s="5386">
        <v>46023</v>
      </c>
      <c r="BO53" s="5245" t="s">
        <v>65</v>
      </c>
      <c r="BP53" s="5386">
        <v>46203</v>
      </c>
      <c r="BQ53" s="5245" t="s">
        <v>65</v>
      </c>
      <c r="BR53" s="687">
        <v>1955.82</v>
      </c>
      <c r="BS53" s="262"/>
      <c r="BT53" s="687"/>
      <c r="BU53" s="1183"/>
      <c r="BV53" s="5386">
        <v>46204</v>
      </c>
      <c r="BW53" s="5245" t="s">
        <v>65</v>
      </c>
      <c r="BX53" s="5386">
        <v>46387</v>
      </c>
      <c r="BY53" s="5245" t="s">
        <v>65</v>
      </c>
      <c r="BZ53" s="687">
        <v>1955.82</v>
      </c>
      <c r="CA53" s="262"/>
      <c r="CB53" s="687"/>
      <c r="CC53" s="1183"/>
      <c r="CD53" s="5386">
        <v>46388</v>
      </c>
      <c r="CE53" s="5245" t="s">
        <v>65</v>
      </c>
      <c r="CF53" s="5386">
        <v>46568</v>
      </c>
      <c r="CG53" s="5245" t="s">
        <v>65</v>
      </c>
      <c r="CH53" s="687">
        <v>1961.69</v>
      </c>
      <c r="CI53" s="262"/>
      <c r="CJ53" s="687"/>
      <c r="CK53" s="1183"/>
      <c r="CL53" s="5386">
        <v>46569</v>
      </c>
      <c r="CM53" s="5245" t="s">
        <v>65</v>
      </c>
      <c r="CN53" s="5386">
        <v>46752</v>
      </c>
      <c r="CO53" s="5245" t="s">
        <v>65</v>
      </c>
      <c r="CP53" s="687">
        <v>1961.69</v>
      </c>
      <c r="CQ53" s="262"/>
      <c r="CR53" s="687"/>
      <c r="CS53" s="1183"/>
      <c r="CT53" s="5386">
        <v>46753</v>
      </c>
      <c r="CU53" s="5245" t="s">
        <v>65</v>
      </c>
      <c r="CV53" s="5386">
        <v>46934</v>
      </c>
      <c r="CW53" s="5245" t="s">
        <v>65</v>
      </c>
      <c r="CX53" s="687">
        <v>2061.9</v>
      </c>
      <c r="CY53" s="262"/>
      <c r="CZ53" s="687"/>
      <c r="DA53" s="1183"/>
      <c r="DB53" s="5386">
        <v>46935</v>
      </c>
      <c r="DC53" s="5245" t="s">
        <v>65</v>
      </c>
      <c r="DD53" s="5386">
        <v>47118</v>
      </c>
      <c r="DE53" s="5245" t="s">
        <v>65</v>
      </c>
      <c r="DF53" s="262"/>
      <c r="DG53" s="5405" t="s">
        <v>437</v>
      </c>
      <c r="DH53" s="1568" t="e">
        <f ca="1">STRCHECKDATE(V54:DF54)</f>
        <v>#NAME?</v>
      </c>
      <c r="DI53" s="1550"/>
      <c r="DJ53" s="1550" t="str">
        <f t="shared" si="1"/>
        <v>вода</v>
      </c>
      <c r="DK53" s="1550"/>
      <c r="DL53" s="1550"/>
      <c r="DM53" s="1561">
        <v>0</v>
      </c>
    </row>
    <row r="54" spans="1:117" s="1774" customFormat="1" ht="0.75" customHeight="1">
      <c r="A54" s="1289"/>
      <c r="B54" s="1289"/>
      <c r="C54" s="1289"/>
      <c r="D54" s="1289"/>
      <c r="E54" s="5382"/>
      <c r="F54" s="5382"/>
      <c r="G54" s="5382"/>
      <c r="H54" s="5382"/>
      <c r="I54" s="5384"/>
      <c r="J54" s="5384" t="str">
        <f>I47&amp;".1"</f>
        <v>1.1.1.1.1.1</v>
      </c>
      <c r="K54" s="5383"/>
      <c r="L54" s="1295"/>
      <c r="M54" s="1292"/>
      <c r="N54" s="1292"/>
      <c r="O54" s="1292"/>
      <c r="P54" s="5385"/>
      <c r="Q54" s="5385"/>
      <c r="R54" s="293"/>
      <c r="S54" s="2019"/>
      <c r="T54" s="237"/>
      <c r="U54" s="237"/>
      <c r="V54" s="262"/>
      <c r="W54" s="262"/>
      <c r="X54" s="262"/>
      <c r="Y54" s="265" t="str">
        <f>Z53&amp;"-"&amp;AB53</f>
        <v>-</v>
      </c>
      <c r="Z54" s="5387"/>
      <c r="AA54" s="5245"/>
      <c r="AB54" s="5387"/>
      <c r="AC54" s="5245"/>
      <c r="AD54" s="262"/>
      <c r="AE54" s="262"/>
      <c r="AF54" s="262"/>
      <c r="AG54" s="265" t="str">
        <f>AH53&amp;"-"&amp;AJ53</f>
        <v>45292,4426967593-45473,4427893519</v>
      </c>
      <c r="AH54" s="5387"/>
      <c r="AI54" s="5245"/>
      <c r="AJ54" s="5387"/>
      <c r="AK54" s="5245"/>
      <c r="AL54" s="262"/>
      <c r="AM54" s="262"/>
      <c r="AN54" s="262"/>
      <c r="AO54" s="265" t="str">
        <f>AP53&amp;"-"&amp;AR53</f>
        <v>45474,4428819444-45657,4429398148</v>
      </c>
      <c r="AP54" s="5387"/>
      <c r="AQ54" s="5245"/>
      <c r="AR54" s="5387"/>
      <c r="AS54" s="5245"/>
      <c r="AT54" s="262"/>
      <c r="AU54" s="262"/>
      <c r="AV54" s="262"/>
      <c r="AW54" s="265" t="str">
        <f>AX53&amp;"-"&amp;AZ53</f>
        <v>45658-45838</v>
      </c>
      <c r="AX54" s="5387"/>
      <c r="AY54" s="5245"/>
      <c r="AZ54" s="5387"/>
      <c r="BA54" s="5245"/>
      <c r="BB54" s="262"/>
      <c r="BC54" s="262"/>
      <c r="BD54" s="262"/>
      <c r="BE54" s="265" t="str">
        <f>BF53&amp;"-"&amp;BH53</f>
        <v>45839-46022</v>
      </c>
      <c r="BF54" s="5387"/>
      <c r="BG54" s="5245"/>
      <c r="BH54" s="5387"/>
      <c r="BI54" s="5245"/>
      <c r="BJ54" s="262"/>
      <c r="BK54" s="262"/>
      <c r="BL54" s="262"/>
      <c r="BM54" s="265" t="str">
        <f>BN53&amp;"-"&amp;BP53</f>
        <v>46023-46203</v>
      </c>
      <c r="BN54" s="5387"/>
      <c r="BO54" s="5245"/>
      <c r="BP54" s="5387"/>
      <c r="BQ54" s="5245"/>
      <c r="BR54" s="262"/>
      <c r="BS54" s="262"/>
      <c r="BT54" s="262"/>
      <c r="BU54" s="265" t="str">
        <f>BV53&amp;"-"&amp;BX53</f>
        <v>46204-46387</v>
      </c>
      <c r="BV54" s="5387"/>
      <c r="BW54" s="5245"/>
      <c r="BX54" s="5387"/>
      <c r="BY54" s="5245"/>
      <c r="BZ54" s="262"/>
      <c r="CA54" s="262"/>
      <c r="CB54" s="262"/>
      <c r="CC54" s="265" t="str">
        <f>CD53&amp;"-"&amp;CF53</f>
        <v>46388-46568</v>
      </c>
      <c r="CD54" s="5387"/>
      <c r="CE54" s="5245"/>
      <c r="CF54" s="5387"/>
      <c r="CG54" s="5245"/>
      <c r="CH54" s="262"/>
      <c r="CI54" s="262"/>
      <c r="CJ54" s="262"/>
      <c r="CK54" s="265" t="str">
        <f>CL53&amp;"-"&amp;CN53</f>
        <v>46569-46752</v>
      </c>
      <c r="CL54" s="5387"/>
      <c r="CM54" s="5245"/>
      <c r="CN54" s="5387"/>
      <c r="CO54" s="5245"/>
      <c r="CP54" s="262"/>
      <c r="CQ54" s="262"/>
      <c r="CR54" s="262"/>
      <c r="CS54" s="265" t="str">
        <f>CT53&amp;"-"&amp;CV53</f>
        <v>46753-46934</v>
      </c>
      <c r="CT54" s="5387"/>
      <c r="CU54" s="5245"/>
      <c r="CV54" s="5387"/>
      <c r="CW54" s="5245"/>
      <c r="CX54" s="262"/>
      <c r="CY54" s="262"/>
      <c r="CZ54" s="262"/>
      <c r="DA54" s="265" t="str">
        <f>DB53&amp;"-"&amp;DD53</f>
        <v>46935-47118</v>
      </c>
      <c r="DB54" s="5387"/>
      <c r="DC54" s="5245"/>
      <c r="DD54" s="5387"/>
      <c r="DE54" s="5245"/>
      <c r="DF54" s="262"/>
      <c r="DG54" s="5406"/>
      <c r="DH54" s="1568"/>
      <c r="DI54" s="1550"/>
      <c r="DJ54" s="1550" t="str">
        <f t="shared" si="1"/>
        <v/>
      </c>
      <c r="DK54" s="1550"/>
      <c r="DL54" s="1550"/>
      <c r="DM54" s="1561">
        <v>0</v>
      </c>
    </row>
    <row r="55" spans="1:117" s="1774" customFormat="1" ht="15" customHeight="1">
      <c r="A55" s="1289"/>
      <c r="B55" s="1289"/>
      <c r="C55" s="1289"/>
      <c r="D55" s="1289"/>
      <c r="E55" s="5382"/>
      <c r="F55" s="5382"/>
      <c r="G55" s="5382"/>
      <c r="H55" s="5382"/>
      <c r="I55" s="5384"/>
      <c r="J55" s="5383" t="str">
        <f>I47&amp;".1"</f>
        <v>1.1.1.1.1.1</v>
      </c>
      <c r="K55" s="1289"/>
      <c r="L55" s="1295"/>
      <c r="M55" s="1292"/>
      <c r="N55" s="1292"/>
      <c r="O55" s="1701"/>
      <c r="P55" s="5385"/>
      <c r="Q55" s="5385"/>
      <c r="R55" s="292"/>
      <c r="S55" s="2750"/>
      <c r="T55" s="2751" t="s">
        <v>438</v>
      </c>
      <c r="U55" s="2752"/>
      <c r="V55" s="2753"/>
      <c r="W55" s="2754"/>
      <c r="X55" s="2755"/>
      <c r="Y55" s="2756"/>
      <c r="Z55" s="2757"/>
      <c r="AA55" s="2758"/>
      <c r="AB55" s="2759"/>
      <c r="AC55" s="2760"/>
      <c r="AD55" s="2761"/>
      <c r="AE55" s="2762"/>
      <c r="AF55" s="2763"/>
      <c r="AG55" s="2764"/>
      <c r="AH55" s="2765"/>
      <c r="AI55" s="2766"/>
      <c r="AJ55" s="2767"/>
      <c r="AK55" s="2768"/>
      <c r="AL55" s="2769"/>
      <c r="AM55" s="2770"/>
      <c r="AN55" s="2771"/>
      <c r="AO55" s="2772"/>
      <c r="AP55" s="2773"/>
      <c r="AQ55" s="2774"/>
      <c r="AR55" s="2775"/>
      <c r="AS55" s="2776"/>
      <c r="AT55" s="2777"/>
      <c r="AU55" s="2778"/>
      <c r="AV55" s="2779"/>
      <c r="AW55" s="2780"/>
      <c r="AX55" s="2781"/>
      <c r="AY55" s="2782"/>
      <c r="AZ55" s="2783"/>
      <c r="BA55" s="2784"/>
      <c r="BB55" s="2785"/>
      <c r="BC55" s="2786"/>
      <c r="BD55" s="2787"/>
      <c r="BE55" s="2788"/>
      <c r="BF55" s="2789"/>
      <c r="BG55" s="2790"/>
      <c r="BH55" s="2791"/>
      <c r="BI55" s="2792"/>
      <c r="BJ55" s="2793"/>
      <c r="BK55" s="2794"/>
      <c r="BL55" s="2795"/>
      <c r="BM55" s="2796"/>
      <c r="BN55" s="2797"/>
      <c r="BO55" s="2798"/>
      <c r="BP55" s="2799"/>
      <c r="BQ55" s="2800"/>
      <c r="BR55" s="2801"/>
      <c r="BS55" s="2802"/>
      <c r="BT55" s="2803"/>
      <c r="BU55" s="2804"/>
      <c r="BV55" s="2805"/>
      <c r="BW55" s="2806"/>
      <c r="BX55" s="2807"/>
      <c r="BY55" s="2808"/>
      <c r="BZ55" s="2809"/>
      <c r="CA55" s="2810"/>
      <c r="CB55" s="2811"/>
      <c r="CC55" s="2812"/>
      <c r="CD55" s="2813"/>
      <c r="CE55" s="2814"/>
      <c r="CF55" s="2815"/>
      <c r="CG55" s="2816"/>
      <c r="CH55" s="2817"/>
      <c r="CI55" s="2818"/>
      <c r="CJ55" s="2819"/>
      <c r="CK55" s="2820"/>
      <c r="CL55" s="2821"/>
      <c r="CM55" s="2822"/>
      <c r="CN55" s="2823"/>
      <c r="CO55" s="2824"/>
      <c r="CP55" s="2825"/>
      <c r="CQ55" s="2826"/>
      <c r="CR55" s="2827"/>
      <c r="CS55" s="2828"/>
      <c r="CT55" s="2829"/>
      <c r="CU55" s="2830"/>
      <c r="CV55" s="2831"/>
      <c r="CW55" s="2832"/>
      <c r="CX55" s="2833"/>
      <c r="CY55" s="2834"/>
      <c r="CZ55" s="2835"/>
      <c r="DA55" s="2836"/>
      <c r="DB55" s="2837"/>
      <c r="DC55" s="2838"/>
      <c r="DD55" s="2839"/>
      <c r="DE55" s="5169"/>
      <c r="DF55" s="2840"/>
      <c r="DG55" s="5407"/>
      <c r="DH55" s="1568"/>
      <c r="DI55" s="1550"/>
      <c r="DJ55" s="1550" t="str">
        <f t="shared" si="1"/>
        <v>Добавить вид теплоносителя (параметры теплоносителя)</v>
      </c>
      <c r="DK55" s="1550"/>
      <c r="DL55" s="1550"/>
      <c r="DM55" s="1561">
        <v>0</v>
      </c>
    </row>
    <row r="56" spans="1:117" s="1774" customFormat="1" ht="21" customHeight="1">
      <c r="A56" s="1289"/>
      <c r="B56" s="1289"/>
      <c r="C56" s="1289"/>
      <c r="D56" s="1289"/>
      <c r="E56" s="5382"/>
      <c r="F56" s="5382"/>
      <c r="G56" s="5382"/>
      <c r="H56" s="5382"/>
      <c r="I56" s="5384"/>
      <c r="J56" s="5383" t="str">
        <f>I47&amp;".3"</f>
        <v>1.1.1.1.1.3</v>
      </c>
      <c r="K56" s="1289"/>
      <c r="L56" s="1295" t="s">
        <v>433</v>
      </c>
      <c r="M56" s="1292"/>
      <c r="N56" s="1292"/>
      <c r="O56" s="1701"/>
      <c r="P56" s="5385"/>
      <c r="Q56" s="5408" t="s">
        <v>166</v>
      </c>
      <c r="R56" s="293"/>
      <c r="S56" s="2012" t="str">
        <f>$J56</f>
        <v>1.1.1.1.1.3</v>
      </c>
      <c r="T56" s="223" t="s">
        <v>434</v>
      </c>
      <c r="U56" s="237"/>
      <c r="V56" s="5366"/>
      <c r="W56" s="5367"/>
      <c r="X56" s="5367"/>
      <c r="Y56" s="5367"/>
      <c r="Z56" s="5367"/>
      <c r="AA56" s="5367"/>
      <c r="AB56" s="5367"/>
      <c r="AC56" s="5368"/>
      <c r="AD56" s="5366" t="s">
        <v>475</v>
      </c>
      <c r="AE56" s="5367"/>
      <c r="AF56" s="5367"/>
      <c r="AG56" s="5367"/>
      <c r="AH56" s="5367"/>
      <c r="AI56" s="5367"/>
      <c r="AJ56" s="5367"/>
      <c r="AK56" s="5367"/>
      <c r="AL56" s="5366"/>
      <c r="AM56" s="5367"/>
      <c r="AN56" s="5367"/>
      <c r="AO56" s="5367"/>
      <c r="AP56" s="5367"/>
      <c r="AQ56" s="5367"/>
      <c r="AR56" s="5367"/>
      <c r="AS56" s="5368"/>
      <c r="AT56" s="5366"/>
      <c r="AU56" s="5367"/>
      <c r="AV56" s="5367"/>
      <c r="AW56" s="5367"/>
      <c r="AX56" s="5367"/>
      <c r="AY56" s="5367"/>
      <c r="AZ56" s="5367"/>
      <c r="BA56" s="5368"/>
      <c r="BB56" s="5366"/>
      <c r="BC56" s="5367"/>
      <c r="BD56" s="5367"/>
      <c r="BE56" s="5367"/>
      <c r="BF56" s="5367"/>
      <c r="BG56" s="5367"/>
      <c r="BH56" s="5367"/>
      <c r="BI56" s="5368"/>
      <c r="BJ56" s="5366"/>
      <c r="BK56" s="5367"/>
      <c r="BL56" s="5367"/>
      <c r="BM56" s="5367"/>
      <c r="BN56" s="5367"/>
      <c r="BO56" s="5367"/>
      <c r="BP56" s="5367"/>
      <c r="BQ56" s="5368"/>
      <c r="BR56" s="5366"/>
      <c r="BS56" s="5367"/>
      <c r="BT56" s="5367"/>
      <c r="BU56" s="5367"/>
      <c r="BV56" s="5367"/>
      <c r="BW56" s="5367"/>
      <c r="BX56" s="5367"/>
      <c r="BY56" s="5368"/>
      <c r="BZ56" s="5366"/>
      <c r="CA56" s="5367"/>
      <c r="CB56" s="5367"/>
      <c r="CC56" s="5367"/>
      <c r="CD56" s="5367"/>
      <c r="CE56" s="5367"/>
      <c r="CF56" s="5367"/>
      <c r="CG56" s="5368"/>
      <c r="CH56" s="5366"/>
      <c r="CI56" s="5367"/>
      <c r="CJ56" s="5367"/>
      <c r="CK56" s="5367"/>
      <c r="CL56" s="5367"/>
      <c r="CM56" s="5367"/>
      <c r="CN56" s="5367"/>
      <c r="CO56" s="5368"/>
      <c r="CP56" s="5366"/>
      <c r="CQ56" s="5367"/>
      <c r="CR56" s="5367"/>
      <c r="CS56" s="5367"/>
      <c r="CT56" s="5367"/>
      <c r="CU56" s="5367"/>
      <c r="CV56" s="5367"/>
      <c r="CW56" s="5368"/>
      <c r="CX56" s="5366"/>
      <c r="CY56" s="5367"/>
      <c r="CZ56" s="5367"/>
      <c r="DA56" s="5367"/>
      <c r="DB56" s="5367"/>
      <c r="DC56" s="5367"/>
      <c r="DD56" s="5367"/>
      <c r="DE56" s="5369"/>
      <c r="DF56" s="5368"/>
      <c r="DG56" s="1184" t="s">
        <v>435</v>
      </c>
      <c r="DH56" s="1568"/>
      <c r="DI56" s="1550"/>
      <c r="DJ56" s="1550" t="str">
        <f t="shared" si="1"/>
        <v>Группа потребителей</v>
      </c>
      <c r="DK56" s="1550"/>
      <c r="DL56" s="1550"/>
      <c r="DM56" s="1561">
        <v>0</v>
      </c>
    </row>
    <row r="57" spans="1:117" s="1774" customFormat="1" ht="21" customHeight="1">
      <c r="A57" s="1289"/>
      <c r="B57" s="1289"/>
      <c r="C57" s="1289"/>
      <c r="D57" s="1289"/>
      <c r="E57" s="5382"/>
      <c r="F57" s="5382"/>
      <c r="G57" s="5382"/>
      <c r="H57" s="5382"/>
      <c r="I57" s="5384"/>
      <c r="J57" s="5384" t="str">
        <f>I47&amp;".2"</f>
        <v>1.1.1.1.1.2</v>
      </c>
      <c r="K57" s="5383" t="str">
        <f>J56&amp;".1"</f>
        <v>1.1.1.1.1.3.1</v>
      </c>
      <c r="L57" s="1295" t="s">
        <v>436</v>
      </c>
      <c r="M57" s="1292"/>
      <c r="N57" s="1292"/>
      <c r="O57" s="1292"/>
      <c r="P57" s="5385"/>
      <c r="Q57" s="5385"/>
      <c r="R57" s="293">
        <v>1</v>
      </c>
      <c r="S57" s="2012" t="str">
        <f>$K57</f>
        <v>1.1.1.1.1.3.1</v>
      </c>
      <c r="T57" s="1273" t="s">
        <v>473</v>
      </c>
      <c r="U57" s="237"/>
      <c r="V57" s="687"/>
      <c r="W57" s="262"/>
      <c r="X57" s="687"/>
      <c r="Y57" s="1183"/>
      <c r="Z57" s="5386"/>
      <c r="AA57" s="5245" t="s">
        <v>65</v>
      </c>
      <c r="AB57" s="5386"/>
      <c r="AC57" s="5245" t="s">
        <v>65</v>
      </c>
      <c r="AD57" s="687">
        <v>2649.78</v>
      </c>
      <c r="AE57" s="262"/>
      <c r="AF57" s="687"/>
      <c r="AG57" s="1183"/>
      <c r="AH57" s="5386">
        <v>45292</v>
      </c>
      <c r="AI57" s="5245" t="s">
        <v>65</v>
      </c>
      <c r="AJ57" s="5386">
        <v>45473</v>
      </c>
      <c r="AK57" s="5245" t="s">
        <v>65</v>
      </c>
      <c r="AL57" s="687">
        <v>2993.56</v>
      </c>
      <c r="AM57" s="262"/>
      <c r="AN57" s="687"/>
      <c r="AO57" s="1183"/>
      <c r="AP57" s="5386">
        <v>45474</v>
      </c>
      <c r="AQ57" s="5245" t="s">
        <v>65</v>
      </c>
      <c r="AR57" s="5386">
        <v>45657</v>
      </c>
      <c r="AS57" s="5245" t="s">
        <v>65</v>
      </c>
      <c r="AT57" s="687">
        <v>2937.42</v>
      </c>
      <c r="AU57" s="262"/>
      <c r="AV57" s="687"/>
      <c r="AW57" s="1183"/>
      <c r="AX57" s="5386">
        <v>45658</v>
      </c>
      <c r="AY57" s="5245" t="s">
        <v>65</v>
      </c>
      <c r="AZ57" s="5386">
        <v>45838</v>
      </c>
      <c r="BA57" s="5245" t="s">
        <v>65</v>
      </c>
      <c r="BB57" s="687">
        <v>3053.41</v>
      </c>
      <c r="BC57" s="262"/>
      <c r="BD57" s="687"/>
      <c r="BE57" s="1183"/>
      <c r="BF57" s="5386">
        <v>45839</v>
      </c>
      <c r="BG57" s="5245" t="s">
        <v>65</v>
      </c>
      <c r="BH57" s="5386">
        <v>46022</v>
      </c>
      <c r="BI57" s="5245" t="s">
        <v>65</v>
      </c>
      <c r="BJ57" s="687">
        <v>3053.41</v>
      </c>
      <c r="BK57" s="262"/>
      <c r="BL57" s="687"/>
      <c r="BM57" s="1183"/>
      <c r="BN57" s="5386">
        <v>46023</v>
      </c>
      <c r="BO57" s="5245" t="s">
        <v>65</v>
      </c>
      <c r="BP57" s="5386">
        <v>46203</v>
      </c>
      <c r="BQ57" s="5245" t="s">
        <v>65</v>
      </c>
      <c r="BR57" s="687">
        <v>3260.06</v>
      </c>
      <c r="BS57" s="262"/>
      <c r="BT57" s="687"/>
      <c r="BU57" s="1183"/>
      <c r="BV57" s="5386">
        <v>46204</v>
      </c>
      <c r="BW57" s="5245" t="s">
        <v>65</v>
      </c>
      <c r="BX57" s="5386">
        <v>46387</v>
      </c>
      <c r="BY57" s="5245" t="s">
        <v>65</v>
      </c>
      <c r="BZ57" s="687">
        <v>3193.8</v>
      </c>
      <c r="CA57" s="262"/>
      <c r="CB57" s="687"/>
      <c r="CC57" s="1183"/>
      <c r="CD57" s="5386">
        <v>46388</v>
      </c>
      <c r="CE57" s="5245" t="s">
        <v>65</v>
      </c>
      <c r="CF57" s="5386">
        <v>46568</v>
      </c>
      <c r="CG57" s="5245" t="s">
        <v>65</v>
      </c>
      <c r="CH57" s="687">
        <v>3279.65</v>
      </c>
      <c r="CI57" s="262"/>
      <c r="CJ57" s="687"/>
      <c r="CK57" s="1183"/>
      <c r="CL57" s="5386">
        <v>46569</v>
      </c>
      <c r="CM57" s="5245" t="s">
        <v>65</v>
      </c>
      <c r="CN57" s="5386">
        <v>46752</v>
      </c>
      <c r="CO57" s="5245" t="s">
        <v>65</v>
      </c>
      <c r="CP57" s="687">
        <v>3279.65</v>
      </c>
      <c r="CQ57" s="262"/>
      <c r="CR57" s="687"/>
      <c r="CS57" s="1183"/>
      <c r="CT57" s="5386">
        <v>46753</v>
      </c>
      <c r="CU57" s="5245" t="s">
        <v>65</v>
      </c>
      <c r="CV57" s="5386">
        <v>46934</v>
      </c>
      <c r="CW57" s="5245" t="s">
        <v>65</v>
      </c>
      <c r="CX57" s="687">
        <v>3451.67</v>
      </c>
      <c r="CY57" s="262"/>
      <c r="CZ57" s="687"/>
      <c r="DA57" s="1183"/>
      <c r="DB57" s="5386">
        <v>46935</v>
      </c>
      <c r="DC57" s="5245" t="s">
        <v>65</v>
      </c>
      <c r="DD57" s="5386">
        <v>47118</v>
      </c>
      <c r="DE57" s="5245" t="s">
        <v>65</v>
      </c>
      <c r="DF57" s="262"/>
      <c r="DG57" s="5405" t="s">
        <v>437</v>
      </c>
      <c r="DH57" s="1568" t="e">
        <f ca="1">STRCHECKDATE(V58:DF58)</f>
        <v>#NAME?</v>
      </c>
      <c r="DI57" s="1550"/>
      <c r="DJ57" s="1550" t="str">
        <f t="shared" si="1"/>
        <v>вода</v>
      </c>
      <c r="DK57" s="1550"/>
      <c r="DL57" s="1550"/>
      <c r="DM57" s="1561">
        <v>0</v>
      </c>
    </row>
    <row r="58" spans="1:117" s="1774" customFormat="1" ht="0.75" customHeight="1">
      <c r="A58" s="1289"/>
      <c r="B58" s="1289"/>
      <c r="C58" s="1289"/>
      <c r="D58" s="1289"/>
      <c r="E58" s="5382"/>
      <c r="F58" s="5382"/>
      <c r="G58" s="5382"/>
      <c r="H58" s="5382"/>
      <c r="I58" s="5384"/>
      <c r="J58" s="5384" t="str">
        <f>I47&amp;".2"</f>
        <v>1.1.1.1.1.2</v>
      </c>
      <c r="K58" s="5383"/>
      <c r="L58" s="1295"/>
      <c r="M58" s="1292"/>
      <c r="N58" s="1292"/>
      <c r="O58" s="1292"/>
      <c r="P58" s="5385"/>
      <c r="Q58" s="5385"/>
      <c r="R58" s="293"/>
      <c r="S58" s="2019"/>
      <c r="T58" s="237"/>
      <c r="U58" s="237"/>
      <c r="V58" s="262"/>
      <c r="W58" s="262"/>
      <c r="X58" s="262"/>
      <c r="Y58" s="265" t="str">
        <f>Z57&amp;"-"&amp;AB57</f>
        <v>-</v>
      </c>
      <c r="Z58" s="5387"/>
      <c r="AA58" s="5245"/>
      <c r="AB58" s="5387"/>
      <c r="AC58" s="5245"/>
      <c r="AD58" s="262"/>
      <c r="AE58" s="262"/>
      <c r="AF58" s="262"/>
      <c r="AG58" s="265" t="str">
        <f>AH57&amp;"-"&amp;AJ57</f>
        <v>45292-45473</v>
      </c>
      <c r="AH58" s="5387"/>
      <c r="AI58" s="5245"/>
      <c r="AJ58" s="5387"/>
      <c r="AK58" s="5245"/>
      <c r="AL58" s="262"/>
      <c r="AM58" s="262"/>
      <c r="AN58" s="262"/>
      <c r="AO58" s="265" t="str">
        <f>AP57&amp;"-"&amp;AR57</f>
        <v>45474-45657</v>
      </c>
      <c r="AP58" s="5387"/>
      <c r="AQ58" s="5245"/>
      <c r="AR58" s="5387"/>
      <c r="AS58" s="5245"/>
      <c r="AT58" s="262"/>
      <c r="AU58" s="262"/>
      <c r="AV58" s="262"/>
      <c r="AW58" s="265" t="str">
        <f>AX57&amp;"-"&amp;AZ57</f>
        <v>45658-45838</v>
      </c>
      <c r="AX58" s="5387"/>
      <c r="AY58" s="5245"/>
      <c r="AZ58" s="5387"/>
      <c r="BA58" s="5245"/>
      <c r="BB58" s="262"/>
      <c r="BC58" s="262"/>
      <c r="BD58" s="262"/>
      <c r="BE58" s="265" t="str">
        <f>BF57&amp;"-"&amp;BH57</f>
        <v>45839-46022</v>
      </c>
      <c r="BF58" s="5387"/>
      <c r="BG58" s="5245"/>
      <c r="BH58" s="5387"/>
      <c r="BI58" s="5245"/>
      <c r="BJ58" s="262"/>
      <c r="BK58" s="262"/>
      <c r="BL58" s="262"/>
      <c r="BM58" s="265" t="str">
        <f>BN57&amp;"-"&amp;BP57</f>
        <v>46023-46203</v>
      </c>
      <c r="BN58" s="5387"/>
      <c r="BO58" s="5245"/>
      <c r="BP58" s="5387"/>
      <c r="BQ58" s="5245"/>
      <c r="BR58" s="262"/>
      <c r="BS58" s="262"/>
      <c r="BT58" s="262"/>
      <c r="BU58" s="265" t="str">
        <f>BV57&amp;"-"&amp;BX57</f>
        <v>46204-46387</v>
      </c>
      <c r="BV58" s="5387"/>
      <c r="BW58" s="5245"/>
      <c r="BX58" s="5387"/>
      <c r="BY58" s="5245"/>
      <c r="BZ58" s="262"/>
      <c r="CA58" s="262"/>
      <c r="CB58" s="262"/>
      <c r="CC58" s="265" t="str">
        <f>CD57&amp;"-"&amp;CF57</f>
        <v>46388-46568</v>
      </c>
      <c r="CD58" s="5387"/>
      <c r="CE58" s="5245"/>
      <c r="CF58" s="5387"/>
      <c r="CG58" s="5245"/>
      <c r="CH58" s="262"/>
      <c r="CI58" s="262"/>
      <c r="CJ58" s="262"/>
      <c r="CK58" s="265" t="str">
        <f>CL57&amp;"-"&amp;CN57</f>
        <v>46569-46752</v>
      </c>
      <c r="CL58" s="5387"/>
      <c r="CM58" s="5245"/>
      <c r="CN58" s="5387"/>
      <c r="CO58" s="5245"/>
      <c r="CP58" s="262"/>
      <c r="CQ58" s="262"/>
      <c r="CR58" s="262"/>
      <c r="CS58" s="265" t="str">
        <f>CT57&amp;"-"&amp;CV57</f>
        <v>46753-46934</v>
      </c>
      <c r="CT58" s="5387"/>
      <c r="CU58" s="5245"/>
      <c r="CV58" s="5387"/>
      <c r="CW58" s="5245"/>
      <c r="CX58" s="262"/>
      <c r="CY58" s="262"/>
      <c r="CZ58" s="262"/>
      <c r="DA58" s="265" t="str">
        <f>DB57&amp;"-"&amp;DD57</f>
        <v>46935-47118</v>
      </c>
      <c r="DB58" s="5387"/>
      <c r="DC58" s="5245"/>
      <c r="DD58" s="5387"/>
      <c r="DE58" s="5245"/>
      <c r="DF58" s="262"/>
      <c r="DG58" s="5406"/>
      <c r="DH58" s="1568"/>
      <c r="DI58" s="1550"/>
      <c r="DJ58" s="1550" t="str">
        <f t="shared" si="1"/>
        <v/>
      </c>
      <c r="DK58" s="1550"/>
      <c r="DL58" s="1550"/>
      <c r="DM58" s="1561">
        <v>0</v>
      </c>
    </row>
    <row r="59" spans="1:117" s="1774" customFormat="1" ht="15" customHeight="1">
      <c r="A59" s="1289"/>
      <c r="B59" s="1289"/>
      <c r="C59" s="1289"/>
      <c r="D59" s="1289"/>
      <c r="E59" s="5382"/>
      <c r="F59" s="5382"/>
      <c r="G59" s="5382"/>
      <c r="H59" s="5382"/>
      <c r="I59" s="5384"/>
      <c r="J59" s="5383" t="str">
        <f>I47&amp;".2"</f>
        <v>1.1.1.1.1.2</v>
      </c>
      <c r="K59" s="1289"/>
      <c r="L59" s="1295"/>
      <c r="M59" s="1292"/>
      <c r="N59" s="1292"/>
      <c r="O59" s="1701"/>
      <c r="P59" s="5385"/>
      <c r="Q59" s="5385"/>
      <c r="R59" s="292"/>
      <c r="S59" s="2841"/>
      <c r="T59" s="2842" t="s">
        <v>438</v>
      </c>
      <c r="U59" s="2843"/>
      <c r="V59" s="2844"/>
      <c r="W59" s="2845"/>
      <c r="X59" s="2846"/>
      <c r="Y59" s="2847"/>
      <c r="Z59" s="2848"/>
      <c r="AA59" s="2849"/>
      <c r="AB59" s="2850"/>
      <c r="AC59" s="2851"/>
      <c r="AD59" s="2852"/>
      <c r="AE59" s="2853"/>
      <c r="AF59" s="2854"/>
      <c r="AG59" s="2855"/>
      <c r="AH59" s="2856"/>
      <c r="AI59" s="2857"/>
      <c r="AJ59" s="2858"/>
      <c r="AK59" s="2859"/>
      <c r="AL59" s="2860"/>
      <c r="AM59" s="2861"/>
      <c r="AN59" s="2862"/>
      <c r="AO59" s="2863"/>
      <c r="AP59" s="2864"/>
      <c r="AQ59" s="2865"/>
      <c r="AR59" s="2866"/>
      <c r="AS59" s="2867"/>
      <c r="AT59" s="2868"/>
      <c r="AU59" s="2869"/>
      <c r="AV59" s="2870"/>
      <c r="AW59" s="2871"/>
      <c r="AX59" s="2872"/>
      <c r="AY59" s="2873"/>
      <c r="AZ59" s="2874"/>
      <c r="BA59" s="2875"/>
      <c r="BB59" s="2876"/>
      <c r="BC59" s="2877"/>
      <c r="BD59" s="2878"/>
      <c r="BE59" s="2879"/>
      <c r="BF59" s="2880"/>
      <c r="BG59" s="2881"/>
      <c r="BH59" s="2882"/>
      <c r="BI59" s="2883"/>
      <c r="BJ59" s="2884"/>
      <c r="BK59" s="2885"/>
      <c r="BL59" s="2886"/>
      <c r="BM59" s="2887"/>
      <c r="BN59" s="2888"/>
      <c r="BO59" s="2889"/>
      <c r="BP59" s="2890"/>
      <c r="BQ59" s="2891"/>
      <c r="BR59" s="2892"/>
      <c r="BS59" s="2893"/>
      <c r="BT59" s="2894"/>
      <c r="BU59" s="2895"/>
      <c r="BV59" s="2896"/>
      <c r="BW59" s="2897"/>
      <c r="BX59" s="2898"/>
      <c r="BY59" s="2899"/>
      <c r="BZ59" s="2900"/>
      <c r="CA59" s="2901"/>
      <c r="CB59" s="2902"/>
      <c r="CC59" s="2903"/>
      <c r="CD59" s="2904"/>
      <c r="CE59" s="2905"/>
      <c r="CF59" s="2906"/>
      <c r="CG59" s="2907"/>
      <c r="CH59" s="2908"/>
      <c r="CI59" s="2909"/>
      <c r="CJ59" s="2910"/>
      <c r="CK59" s="2911"/>
      <c r="CL59" s="2912"/>
      <c r="CM59" s="2913"/>
      <c r="CN59" s="2914"/>
      <c r="CO59" s="2915"/>
      <c r="CP59" s="2916"/>
      <c r="CQ59" s="2917"/>
      <c r="CR59" s="2918"/>
      <c r="CS59" s="2919"/>
      <c r="CT59" s="2920"/>
      <c r="CU59" s="2921"/>
      <c r="CV59" s="2922"/>
      <c r="CW59" s="2923"/>
      <c r="CX59" s="2924"/>
      <c r="CY59" s="2925"/>
      <c r="CZ59" s="2926"/>
      <c r="DA59" s="2927"/>
      <c r="DB59" s="2928"/>
      <c r="DC59" s="2929"/>
      <c r="DD59" s="2930"/>
      <c r="DE59" s="5170"/>
      <c r="DF59" s="2931"/>
      <c r="DG59" s="5407"/>
      <c r="DH59" s="1568"/>
      <c r="DI59" s="1550"/>
      <c r="DJ59" s="1550" t="str">
        <f t="shared" si="1"/>
        <v>Добавить вид теплоносителя (параметры теплоносителя)</v>
      </c>
      <c r="DK59" s="1550"/>
      <c r="DL59" s="1550"/>
      <c r="DM59" s="1561">
        <v>0</v>
      </c>
    </row>
    <row r="60" spans="1:117" ht="11.45" customHeight="1">
      <c r="A60" s="1289" t="s">
        <v>159</v>
      </c>
      <c r="B60" s="1289" t="s">
        <v>160</v>
      </c>
      <c r="C60" s="1289" t="s">
        <v>161</v>
      </c>
      <c r="D60" s="1289" t="s">
        <v>162</v>
      </c>
      <c r="E60" s="5382"/>
      <c r="F60" s="5382"/>
      <c r="G60" s="5382"/>
      <c r="H60" s="5382"/>
      <c r="I60" s="5383"/>
      <c r="J60" s="1289"/>
      <c r="K60" s="1289"/>
      <c r="L60" s="1290"/>
      <c r="P60" s="5385"/>
      <c r="Q60" s="1146"/>
      <c r="R60" s="292"/>
      <c r="S60" s="1204"/>
      <c r="T60" s="224" t="s">
        <v>439</v>
      </c>
      <c r="U60" s="303"/>
      <c r="V60" s="303"/>
      <c r="W60" s="303"/>
      <c r="X60" s="303"/>
      <c r="Y60" s="303"/>
      <c r="Z60" s="303"/>
      <c r="AA60" s="303"/>
      <c r="AB60" s="303"/>
      <c r="AC60" s="302"/>
      <c r="AD60" s="303"/>
      <c r="AE60" s="303"/>
      <c r="AF60" s="303"/>
      <c r="AG60" s="303"/>
      <c r="AH60" s="303"/>
      <c r="AI60" s="303"/>
      <c r="AJ60" s="303"/>
      <c r="AK60" s="302"/>
      <c r="AL60" s="2932"/>
      <c r="AM60" s="2933"/>
      <c r="AN60" s="2934"/>
      <c r="AO60" s="2935"/>
      <c r="AP60" s="2936"/>
      <c r="AQ60" s="2937"/>
      <c r="AR60" s="2938"/>
      <c r="AS60" s="2939"/>
      <c r="AT60" s="2940"/>
      <c r="AU60" s="2941"/>
      <c r="AV60" s="2942"/>
      <c r="AW60" s="2943"/>
      <c r="AX60" s="2944"/>
      <c r="AY60" s="2945"/>
      <c r="AZ60" s="2946"/>
      <c r="BA60" s="2947"/>
      <c r="BB60" s="2948"/>
      <c r="BC60" s="2949"/>
      <c r="BD60" s="2950"/>
      <c r="BE60" s="2951"/>
      <c r="BF60" s="2952"/>
      <c r="BG60" s="2953"/>
      <c r="BH60" s="2954"/>
      <c r="BI60" s="2955"/>
      <c r="BJ60" s="2956"/>
      <c r="BK60" s="2957"/>
      <c r="BL60" s="2958"/>
      <c r="BM60" s="2959"/>
      <c r="BN60" s="2960"/>
      <c r="BO60" s="2961"/>
      <c r="BP60" s="2962"/>
      <c r="BQ60" s="2963"/>
      <c r="BR60" s="2964"/>
      <c r="BS60" s="2965"/>
      <c r="BT60" s="2966"/>
      <c r="BU60" s="2967"/>
      <c r="BV60" s="2968"/>
      <c r="BW60" s="2969"/>
      <c r="BX60" s="2970"/>
      <c r="BY60" s="2971"/>
      <c r="BZ60" s="2972"/>
      <c r="CA60" s="2973"/>
      <c r="CB60" s="2974"/>
      <c r="CC60" s="2975"/>
      <c r="CD60" s="2976"/>
      <c r="CE60" s="2977"/>
      <c r="CF60" s="2978"/>
      <c r="CG60" s="2979"/>
      <c r="CH60" s="2980"/>
      <c r="CI60" s="2981"/>
      <c r="CJ60" s="2982"/>
      <c r="CK60" s="2983"/>
      <c r="CL60" s="2984"/>
      <c r="CM60" s="2985"/>
      <c r="CN60" s="2986"/>
      <c r="CO60" s="2987"/>
      <c r="CP60" s="2988"/>
      <c r="CQ60" s="2989"/>
      <c r="CR60" s="2990"/>
      <c r="CS60" s="2991"/>
      <c r="CT60" s="2992"/>
      <c r="CU60" s="2993"/>
      <c r="CV60" s="2994"/>
      <c r="CW60" s="2995"/>
      <c r="CX60" s="2996"/>
      <c r="CY60" s="2997"/>
      <c r="CZ60" s="2998"/>
      <c r="DA60" s="2999"/>
      <c r="DB60" s="3000"/>
      <c r="DC60" s="3001"/>
      <c r="DD60" s="3002"/>
      <c r="DE60" s="5171"/>
      <c r="DF60" s="303"/>
      <c r="DG60" s="240"/>
      <c r="DI60" s="436"/>
      <c r="DJ60" s="436" t="str">
        <f t="shared" si="1"/>
        <v>Добавить группу потребителей</v>
      </c>
      <c r="DK60" s="436"/>
      <c r="DL60" s="436"/>
      <c r="DM60" s="1081">
        <v>11</v>
      </c>
    </row>
    <row r="61" spans="1:117" ht="14.65" customHeight="1">
      <c r="A61" s="1289" t="s">
        <v>159</v>
      </c>
      <c r="B61" s="1289" t="s">
        <v>160</v>
      </c>
      <c r="C61" s="1289" t="s">
        <v>161</v>
      </c>
      <c r="D61" s="1289" t="s">
        <v>162</v>
      </c>
      <c r="E61" s="5382"/>
      <c r="F61" s="5382"/>
      <c r="G61" s="5382"/>
      <c r="H61" s="5381"/>
      <c r="I61" s="1289"/>
      <c r="J61" s="1289"/>
      <c r="K61" s="1289"/>
      <c r="L61" s="1290"/>
      <c r="M61" s="1291"/>
      <c r="N61" s="1291"/>
      <c r="O61" s="473"/>
      <c r="P61" s="296"/>
      <c r="Q61" s="311"/>
      <c r="R61" s="291"/>
      <c r="S61" s="1204"/>
      <c r="T61" s="301" t="s">
        <v>440</v>
      </c>
      <c r="U61" s="303"/>
      <c r="V61" s="303"/>
      <c r="W61" s="303"/>
      <c r="X61" s="303"/>
      <c r="Y61" s="303"/>
      <c r="Z61" s="303"/>
      <c r="AA61" s="303"/>
      <c r="AB61" s="303"/>
      <c r="AC61" s="302"/>
      <c r="AD61" s="303"/>
      <c r="AE61" s="303"/>
      <c r="AF61" s="303"/>
      <c r="AG61" s="303"/>
      <c r="AH61" s="303"/>
      <c r="AI61" s="303"/>
      <c r="AJ61" s="303"/>
      <c r="AK61" s="302"/>
      <c r="AL61" s="3003"/>
      <c r="AM61" s="3004"/>
      <c r="AN61" s="3005"/>
      <c r="AO61" s="3006"/>
      <c r="AP61" s="3007"/>
      <c r="AQ61" s="3008"/>
      <c r="AR61" s="3009"/>
      <c r="AS61" s="3010"/>
      <c r="AT61" s="3011"/>
      <c r="AU61" s="3012"/>
      <c r="AV61" s="3013"/>
      <c r="AW61" s="3014"/>
      <c r="AX61" s="3015"/>
      <c r="AY61" s="3016"/>
      <c r="AZ61" s="3017"/>
      <c r="BA61" s="3018"/>
      <c r="BB61" s="3019"/>
      <c r="BC61" s="3020"/>
      <c r="BD61" s="3021"/>
      <c r="BE61" s="3022"/>
      <c r="BF61" s="3023"/>
      <c r="BG61" s="3024"/>
      <c r="BH61" s="3025"/>
      <c r="BI61" s="3026"/>
      <c r="BJ61" s="3027"/>
      <c r="BK61" s="3028"/>
      <c r="BL61" s="3029"/>
      <c r="BM61" s="3030"/>
      <c r="BN61" s="3031"/>
      <c r="BO61" s="3032"/>
      <c r="BP61" s="3033"/>
      <c r="BQ61" s="3034"/>
      <c r="BR61" s="3035"/>
      <c r="BS61" s="3036"/>
      <c r="BT61" s="3037"/>
      <c r="BU61" s="3038"/>
      <c r="BV61" s="3039"/>
      <c r="BW61" s="3040"/>
      <c r="BX61" s="3041"/>
      <c r="BY61" s="3042"/>
      <c r="BZ61" s="3043"/>
      <c r="CA61" s="3044"/>
      <c r="CB61" s="3045"/>
      <c r="CC61" s="3046"/>
      <c r="CD61" s="3047"/>
      <c r="CE61" s="3048"/>
      <c r="CF61" s="3049"/>
      <c r="CG61" s="3050"/>
      <c r="CH61" s="3051"/>
      <c r="CI61" s="3052"/>
      <c r="CJ61" s="3053"/>
      <c r="CK61" s="3054"/>
      <c r="CL61" s="3055"/>
      <c r="CM61" s="3056"/>
      <c r="CN61" s="3057"/>
      <c r="CO61" s="3058"/>
      <c r="CP61" s="3059"/>
      <c r="CQ61" s="3060"/>
      <c r="CR61" s="3061"/>
      <c r="CS61" s="3062"/>
      <c r="CT61" s="3063"/>
      <c r="CU61" s="3064"/>
      <c r="CV61" s="3065"/>
      <c r="CW61" s="3066"/>
      <c r="CX61" s="3067"/>
      <c r="CY61" s="3068"/>
      <c r="CZ61" s="3069"/>
      <c r="DA61" s="3070"/>
      <c r="DB61" s="3071"/>
      <c r="DC61" s="3072"/>
      <c r="DD61" s="3073"/>
      <c r="DE61" s="5172"/>
      <c r="DF61" s="303"/>
      <c r="DG61" s="240"/>
      <c r="DI61" s="436"/>
      <c r="DJ61" s="436" t="str">
        <f t="shared" si="1"/>
        <v>Добавить схему подключения</v>
      </c>
      <c r="DK61" s="436"/>
      <c r="DL61" s="436"/>
      <c r="DM61" s="1081">
        <v>14</v>
      </c>
    </row>
    <row r="62" spans="1:117" s="1568" customFormat="1" ht="1.1499999999999999" customHeight="1">
      <c r="A62" s="1269" t="s">
        <v>159</v>
      </c>
      <c r="B62" s="1269" t="s">
        <v>160</v>
      </c>
      <c r="C62" s="1269" t="s">
        <v>161</v>
      </c>
      <c r="D62" s="1240"/>
      <c r="E62" s="5382"/>
      <c r="F62" s="5382"/>
      <c r="G62" s="5381"/>
      <c r="H62" s="1240"/>
      <c r="I62" s="1240"/>
      <c r="J62" s="1240"/>
      <c r="K62" s="1240"/>
      <c r="L62" s="1265"/>
      <c r="M62" s="1241"/>
      <c r="N62" s="1241"/>
      <c r="P62" s="1242"/>
      <c r="Q62" s="1243"/>
      <c r="R62" s="1242"/>
      <c r="S62" s="1248"/>
      <c r="T62" s="1251" t="s">
        <v>163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1250"/>
      <c r="BM62" s="1250"/>
      <c r="BN62" s="1250"/>
      <c r="BO62" s="1250"/>
      <c r="BP62" s="1250"/>
      <c r="BQ62" s="1250"/>
      <c r="BR62" s="1250"/>
      <c r="BS62" s="1250"/>
      <c r="BT62" s="1250"/>
      <c r="BU62" s="1250"/>
      <c r="BV62" s="1250"/>
      <c r="BW62" s="1250"/>
      <c r="BX62" s="1250"/>
      <c r="BY62" s="1250"/>
      <c r="BZ62" s="1250"/>
      <c r="CA62" s="1250"/>
      <c r="CB62" s="1250"/>
      <c r="CC62" s="1250"/>
      <c r="CD62" s="1250"/>
      <c r="CE62" s="1250"/>
      <c r="CF62" s="1250"/>
      <c r="CG62" s="1250"/>
      <c r="CH62" s="1250"/>
      <c r="CI62" s="1250"/>
      <c r="CJ62" s="1250"/>
      <c r="CK62" s="1250"/>
      <c r="CL62" s="1250"/>
      <c r="CM62" s="1250"/>
      <c r="CN62" s="1250"/>
      <c r="CO62" s="1250"/>
      <c r="CP62" s="1250"/>
      <c r="CQ62" s="1250"/>
      <c r="CR62" s="1250"/>
      <c r="CS62" s="1250"/>
      <c r="CT62" s="1250"/>
      <c r="CU62" s="1250"/>
      <c r="CV62" s="1250"/>
      <c r="CW62" s="1250"/>
      <c r="CX62" s="1250"/>
      <c r="CY62" s="1250"/>
      <c r="CZ62" s="1250"/>
      <c r="DA62" s="1250"/>
      <c r="DB62" s="1250"/>
      <c r="DC62" s="1250"/>
      <c r="DD62" s="1250"/>
      <c r="DE62" s="5160"/>
      <c r="DF62" s="1250"/>
      <c r="DG62" s="1250"/>
      <c r="DI62" s="719"/>
      <c r="DJ62" s="719" t="str">
        <f t="shared" si="1"/>
        <v>Добавить источник для дифференциации</v>
      </c>
      <c r="DK62" s="719"/>
      <c r="DL62" s="719"/>
      <c r="DM62" s="454">
        <v>1</v>
      </c>
    </row>
    <row r="63" spans="1:117" s="1568" customFormat="1" ht="1.1499999999999999" customHeight="1">
      <c r="A63" s="1269" t="s">
        <v>159</v>
      </c>
      <c r="B63" s="1269" t="s">
        <v>160</v>
      </c>
      <c r="C63" s="1240"/>
      <c r="D63" s="1240"/>
      <c r="E63" s="5382"/>
      <c r="F63" s="5381"/>
      <c r="G63" s="1240"/>
      <c r="H63" s="1240"/>
      <c r="I63" s="1240"/>
      <c r="J63" s="1240"/>
      <c r="K63" s="1240"/>
      <c r="L63" s="1265"/>
      <c r="M63" s="1247"/>
      <c r="N63" s="1247"/>
      <c r="P63" s="1242"/>
      <c r="Q63" s="1243"/>
      <c r="R63" s="1242"/>
      <c r="S63" s="1248"/>
      <c r="T63" s="1251" t="s">
        <v>164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D63" s="1250"/>
      <c r="BE63" s="1250"/>
      <c r="BF63" s="1250"/>
      <c r="BG63" s="1250"/>
      <c r="BH63" s="1250"/>
      <c r="BI63" s="1250"/>
      <c r="BJ63" s="1250"/>
      <c r="BK63" s="1250"/>
      <c r="BL63" s="1250"/>
      <c r="BM63" s="1250"/>
      <c r="BN63" s="1250"/>
      <c r="BO63" s="1250"/>
      <c r="BP63" s="1250"/>
      <c r="BQ63" s="1250"/>
      <c r="BR63" s="1250"/>
      <c r="BS63" s="1250"/>
      <c r="BT63" s="1250"/>
      <c r="BU63" s="1250"/>
      <c r="BV63" s="1250"/>
      <c r="BW63" s="1250"/>
      <c r="BX63" s="1250"/>
      <c r="BY63" s="1250"/>
      <c r="BZ63" s="1250"/>
      <c r="CA63" s="1250"/>
      <c r="CB63" s="1250"/>
      <c r="CC63" s="1250"/>
      <c r="CD63" s="1250"/>
      <c r="CE63" s="1250"/>
      <c r="CF63" s="1250"/>
      <c r="CG63" s="1250"/>
      <c r="CH63" s="1250"/>
      <c r="CI63" s="1250"/>
      <c r="CJ63" s="1250"/>
      <c r="CK63" s="1250"/>
      <c r="CL63" s="1250"/>
      <c r="CM63" s="1250"/>
      <c r="CN63" s="1250"/>
      <c r="CO63" s="1250"/>
      <c r="CP63" s="1250"/>
      <c r="CQ63" s="1250"/>
      <c r="CR63" s="1250"/>
      <c r="CS63" s="1250"/>
      <c r="CT63" s="1250"/>
      <c r="CU63" s="1250"/>
      <c r="CV63" s="1250"/>
      <c r="CW63" s="1250"/>
      <c r="CX63" s="1250"/>
      <c r="CY63" s="1250"/>
      <c r="CZ63" s="1250"/>
      <c r="DA63" s="1250"/>
      <c r="DB63" s="1250"/>
      <c r="DC63" s="1250"/>
      <c r="DD63" s="1250"/>
      <c r="DE63" s="5160"/>
      <c r="DF63" s="1250"/>
      <c r="DG63" s="1250"/>
      <c r="DI63" s="719"/>
      <c r="DJ63" s="719" t="str">
        <f t="shared" si="1"/>
        <v>Добавить централизованную систему для дифференциации</v>
      </c>
      <c r="DK63" s="719"/>
      <c r="DL63" s="719"/>
      <c r="DM63" s="454">
        <v>1</v>
      </c>
    </row>
    <row r="64" spans="1:117" s="1568" customFormat="1" ht="1.1499999999999999" customHeight="1">
      <c r="A64" s="1269" t="s">
        <v>159</v>
      </c>
      <c r="B64" s="1269"/>
      <c r="C64" s="1269"/>
      <c r="D64" s="1269"/>
      <c r="E64" s="5381"/>
      <c r="F64" s="1269"/>
      <c r="G64" s="1269"/>
      <c r="H64" s="1269"/>
      <c r="I64" s="1269"/>
      <c r="J64" s="1269"/>
      <c r="K64" s="1269"/>
      <c r="L64" s="1272"/>
      <c r="M64" s="1247"/>
      <c r="N64" s="1247"/>
      <c r="O64" s="454"/>
      <c r="P64" s="316"/>
      <c r="Q64" s="1270"/>
      <c r="R64" s="316"/>
      <c r="S64" s="1248"/>
      <c r="T64" s="1251" t="s">
        <v>165</v>
      </c>
      <c r="U64" s="1250"/>
      <c r="V64" s="1250"/>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R64" s="1250"/>
      <c r="AS64" s="1250"/>
      <c r="AT64" s="1250"/>
      <c r="AU64" s="1250"/>
      <c r="AV64" s="1250"/>
      <c r="AW64" s="1250"/>
      <c r="AX64" s="1250"/>
      <c r="AY64" s="1250"/>
      <c r="AZ64" s="1250"/>
      <c r="BA64" s="1250"/>
      <c r="BB64" s="1250"/>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0"/>
      <c r="BY64" s="1250"/>
      <c r="BZ64" s="1250"/>
      <c r="CA64" s="1250"/>
      <c r="CB64" s="1250"/>
      <c r="CC64" s="1250"/>
      <c r="CD64" s="1250"/>
      <c r="CE64" s="1250"/>
      <c r="CF64" s="1250"/>
      <c r="CG64" s="1250"/>
      <c r="CH64" s="1250"/>
      <c r="CI64" s="1250"/>
      <c r="CJ64" s="1250"/>
      <c r="CK64" s="1250"/>
      <c r="CL64" s="1250"/>
      <c r="CM64" s="1250"/>
      <c r="CN64" s="1250"/>
      <c r="CO64" s="1250"/>
      <c r="CP64" s="1250"/>
      <c r="CQ64" s="1250"/>
      <c r="CR64" s="1250"/>
      <c r="CS64" s="1250"/>
      <c r="CT64" s="1250"/>
      <c r="CU64" s="1250"/>
      <c r="CV64" s="1250"/>
      <c r="CW64" s="1250"/>
      <c r="CX64" s="1250"/>
      <c r="CY64" s="1250"/>
      <c r="CZ64" s="1250"/>
      <c r="DA64" s="1250"/>
      <c r="DB64" s="1250"/>
      <c r="DC64" s="1250"/>
      <c r="DD64" s="1250"/>
      <c r="DE64" s="5160"/>
      <c r="DF64" s="1250"/>
      <c r="DG64" s="1250"/>
      <c r="DI64" s="436"/>
      <c r="DJ64" s="436" t="str">
        <f t="shared" si="1"/>
        <v>Добавить территорию для дифференциации</v>
      </c>
      <c r="DK64" s="436"/>
      <c r="DL64" s="436"/>
      <c r="DM64" s="447">
        <v>1</v>
      </c>
    </row>
    <row r="65" spans="1:117" s="1774" customFormat="1" ht="21" customHeight="1">
      <c r="A65" s="1289" t="s">
        <v>168</v>
      </c>
      <c r="B65" s="1289"/>
      <c r="C65" s="1289"/>
      <c r="D65" s="1289"/>
      <c r="E65" s="5381" t="s">
        <v>112</v>
      </c>
      <c r="F65" s="1289"/>
      <c r="G65" s="1289"/>
      <c r="H65" s="1289"/>
      <c r="I65" s="1289"/>
      <c r="J65" s="1289"/>
      <c r="K65" s="1289"/>
      <c r="L65" s="1295"/>
      <c r="M65" s="1291"/>
      <c r="N65" s="1291"/>
      <c r="O65" s="1291"/>
      <c r="P65" s="2015"/>
      <c r="Q65" s="1747"/>
      <c r="R65" s="291"/>
      <c r="S65" s="2012" t="str">
        <f>INDEX(PT_DIFFERENTIATION_NUM_NTAR,MATCH(A65,PT_DIFFERENTIATION_NTAR_ID,0))</f>
        <v>2</v>
      </c>
      <c r="T65" s="1451" t="s">
        <v>125</v>
      </c>
      <c r="U65" s="237"/>
      <c r="V65" s="5373"/>
      <c r="W65" s="5374"/>
      <c r="X65" s="5374"/>
      <c r="Y65" s="5374"/>
      <c r="Z65" s="5374"/>
      <c r="AA65" s="5374"/>
      <c r="AB65" s="5374"/>
      <c r="AC65" s="5375"/>
      <c r="AD65" s="5373" t="str">
        <f>INDEX(PT_DIFFERENTIATION_NTAR,MATCH(A65,PT_DIFFERENTIATION_NTAR_ID,0))</f>
        <v>Тариф на тепловую энергию, поставляемую ПАО "ТГК-1" на коллекторах источников тепловой энергии потребителям, расположенным на территории Санкт-Петербурга</v>
      </c>
      <c r="AE65" s="5374"/>
      <c r="AF65" s="5374"/>
      <c r="AG65" s="5374"/>
      <c r="AH65" s="5374"/>
      <c r="AI65" s="5374"/>
      <c r="AJ65" s="5374"/>
      <c r="AK65" s="5374"/>
      <c r="AL65" s="5373"/>
      <c r="AM65" s="5374"/>
      <c r="AN65" s="5374"/>
      <c r="AO65" s="5374"/>
      <c r="AP65" s="5374"/>
      <c r="AQ65" s="5374"/>
      <c r="AR65" s="5374"/>
      <c r="AS65" s="5375"/>
      <c r="AT65" s="5373"/>
      <c r="AU65" s="5374"/>
      <c r="AV65" s="5374"/>
      <c r="AW65" s="5374"/>
      <c r="AX65" s="5374"/>
      <c r="AY65" s="5374"/>
      <c r="AZ65" s="5374"/>
      <c r="BA65" s="5375"/>
      <c r="BB65" s="5373"/>
      <c r="BC65" s="5374"/>
      <c r="BD65" s="5374"/>
      <c r="BE65" s="5374"/>
      <c r="BF65" s="5374"/>
      <c r="BG65" s="5374"/>
      <c r="BH65" s="5374"/>
      <c r="BI65" s="5375"/>
      <c r="BJ65" s="5373"/>
      <c r="BK65" s="5374"/>
      <c r="BL65" s="5374"/>
      <c r="BM65" s="5374"/>
      <c r="BN65" s="5374"/>
      <c r="BO65" s="5374"/>
      <c r="BP65" s="5374"/>
      <c r="BQ65" s="5375"/>
      <c r="BR65" s="5373"/>
      <c r="BS65" s="5374"/>
      <c r="BT65" s="5374"/>
      <c r="BU65" s="5374"/>
      <c r="BV65" s="5374"/>
      <c r="BW65" s="5374"/>
      <c r="BX65" s="5374"/>
      <c r="BY65" s="5375"/>
      <c r="BZ65" s="5373"/>
      <c r="CA65" s="5374"/>
      <c r="CB65" s="5374"/>
      <c r="CC65" s="5374"/>
      <c r="CD65" s="5374"/>
      <c r="CE65" s="5374"/>
      <c r="CF65" s="5374"/>
      <c r="CG65" s="5375"/>
      <c r="CH65" s="5373"/>
      <c r="CI65" s="5374"/>
      <c r="CJ65" s="5374"/>
      <c r="CK65" s="5374"/>
      <c r="CL65" s="5374"/>
      <c r="CM65" s="5374"/>
      <c r="CN65" s="5374"/>
      <c r="CO65" s="5375"/>
      <c r="CP65" s="5373"/>
      <c r="CQ65" s="5374"/>
      <c r="CR65" s="5374"/>
      <c r="CS65" s="5374"/>
      <c r="CT65" s="5374"/>
      <c r="CU65" s="5374"/>
      <c r="CV65" s="5374"/>
      <c r="CW65" s="5375"/>
      <c r="CX65" s="5373"/>
      <c r="CY65" s="5374"/>
      <c r="CZ65" s="5374"/>
      <c r="DA65" s="5374"/>
      <c r="DB65" s="5374"/>
      <c r="DC65" s="5374"/>
      <c r="DD65" s="5374"/>
      <c r="DE65" s="5376"/>
      <c r="DF65" s="5375"/>
      <c r="DG65" s="1184" t="s">
        <v>423</v>
      </c>
      <c r="DH65" s="1568"/>
      <c r="DI65" s="1550"/>
      <c r="DJ65" s="1550" t="str">
        <f t="shared" si="1"/>
        <v>Наименование тарифа</v>
      </c>
      <c r="DK65" s="1550"/>
      <c r="DL65" s="1550"/>
      <c r="DM65" s="1561">
        <v>0</v>
      </c>
    </row>
    <row r="66" spans="1:117" s="1774" customFormat="1" ht="21" customHeight="1">
      <c r="A66" s="1289"/>
      <c r="B66" s="1289" t="s">
        <v>169</v>
      </c>
      <c r="C66" s="1289"/>
      <c r="D66" s="1289"/>
      <c r="E66" s="5382">
        <v>1</v>
      </c>
      <c r="F66" s="5381">
        <v>1</v>
      </c>
      <c r="G66" s="1289"/>
      <c r="H66" s="1289"/>
      <c r="I66" s="1289"/>
      <c r="J66" s="1289"/>
      <c r="K66" s="1289"/>
      <c r="L66" s="1295"/>
      <c r="M66" s="1291"/>
      <c r="N66" s="1291"/>
      <c r="O66" s="1291"/>
      <c r="P66" s="1999"/>
      <c r="Q66" s="288"/>
      <c r="R66" s="289"/>
      <c r="S66" s="2012" t="str">
        <f>INDEX(PT_DIFFERENTIATION_NUM_TER,MATCH(B66,PT_DIFFERENTIATION_TER_ID,0))</f>
        <v>2.1</v>
      </c>
      <c r="T66" s="1448" t="s">
        <v>424</v>
      </c>
      <c r="U66" s="237"/>
      <c r="V66" s="5373"/>
      <c r="W66" s="5374"/>
      <c r="X66" s="5374"/>
      <c r="Y66" s="5374"/>
      <c r="Z66" s="5374"/>
      <c r="AA66" s="5374"/>
      <c r="AB66" s="5374"/>
      <c r="AC66" s="5375"/>
      <c r="AD66" s="5373" t="str">
        <f>INDEX(PT_DIFFERENTIATION_TER,MATCH(B66,PT_DIFFERENTIATION_TER_ID,0))</f>
        <v>без дифференциации</v>
      </c>
      <c r="AE66" s="5374"/>
      <c r="AF66" s="5374"/>
      <c r="AG66" s="5374"/>
      <c r="AH66" s="5374"/>
      <c r="AI66" s="5374"/>
      <c r="AJ66" s="5374"/>
      <c r="AK66" s="5374"/>
      <c r="AL66" s="5373"/>
      <c r="AM66" s="5374"/>
      <c r="AN66" s="5374"/>
      <c r="AO66" s="5374"/>
      <c r="AP66" s="5374"/>
      <c r="AQ66" s="5374"/>
      <c r="AR66" s="5374"/>
      <c r="AS66" s="5375"/>
      <c r="AT66" s="5373"/>
      <c r="AU66" s="5374"/>
      <c r="AV66" s="5374"/>
      <c r="AW66" s="5374"/>
      <c r="AX66" s="5374"/>
      <c r="AY66" s="5374"/>
      <c r="AZ66" s="5374"/>
      <c r="BA66" s="5375"/>
      <c r="BB66" s="5373"/>
      <c r="BC66" s="5374"/>
      <c r="BD66" s="5374"/>
      <c r="BE66" s="5374"/>
      <c r="BF66" s="5374"/>
      <c r="BG66" s="5374"/>
      <c r="BH66" s="5374"/>
      <c r="BI66" s="5375"/>
      <c r="BJ66" s="5373"/>
      <c r="BK66" s="5374"/>
      <c r="BL66" s="5374"/>
      <c r="BM66" s="5374"/>
      <c r="BN66" s="5374"/>
      <c r="BO66" s="5374"/>
      <c r="BP66" s="5374"/>
      <c r="BQ66" s="5375"/>
      <c r="BR66" s="5373"/>
      <c r="BS66" s="5374"/>
      <c r="BT66" s="5374"/>
      <c r="BU66" s="5374"/>
      <c r="BV66" s="5374"/>
      <c r="BW66" s="5374"/>
      <c r="BX66" s="5374"/>
      <c r="BY66" s="5375"/>
      <c r="BZ66" s="5373"/>
      <c r="CA66" s="5374"/>
      <c r="CB66" s="5374"/>
      <c r="CC66" s="5374"/>
      <c r="CD66" s="5374"/>
      <c r="CE66" s="5374"/>
      <c r="CF66" s="5374"/>
      <c r="CG66" s="5375"/>
      <c r="CH66" s="5373"/>
      <c r="CI66" s="5374"/>
      <c r="CJ66" s="5374"/>
      <c r="CK66" s="5374"/>
      <c r="CL66" s="5374"/>
      <c r="CM66" s="5374"/>
      <c r="CN66" s="5374"/>
      <c r="CO66" s="5375"/>
      <c r="CP66" s="5373"/>
      <c r="CQ66" s="5374"/>
      <c r="CR66" s="5374"/>
      <c r="CS66" s="5374"/>
      <c r="CT66" s="5374"/>
      <c r="CU66" s="5374"/>
      <c r="CV66" s="5374"/>
      <c r="CW66" s="5375"/>
      <c r="CX66" s="5373"/>
      <c r="CY66" s="5374"/>
      <c r="CZ66" s="5374"/>
      <c r="DA66" s="5374"/>
      <c r="DB66" s="5374"/>
      <c r="DC66" s="5374"/>
      <c r="DD66" s="5374"/>
      <c r="DE66" s="5376"/>
      <c r="DF66" s="5375"/>
      <c r="DG66" s="1184" t="s">
        <v>425</v>
      </c>
      <c r="DH66" s="1568"/>
      <c r="DI66" s="1550"/>
      <c r="DJ66" s="1550" t="str">
        <f t="shared" si="1"/>
        <v>Территория действия тарифа</v>
      </c>
      <c r="DK66" s="1550"/>
      <c r="DL66" s="1550"/>
      <c r="DM66" s="1561">
        <v>0</v>
      </c>
    </row>
    <row r="67" spans="1:117" s="1774" customFormat="1" ht="23.25" customHeight="1">
      <c r="A67" s="1289"/>
      <c r="B67" s="1289"/>
      <c r="C67" s="1289" t="s">
        <v>170</v>
      </c>
      <c r="D67" s="1289"/>
      <c r="E67" s="5382">
        <v>1</v>
      </c>
      <c r="F67" s="5382"/>
      <c r="G67" s="5381">
        <v>1</v>
      </c>
      <c r="H67" s="1289"/>
      <c r="I67" s="1289"/>
      <c r="J67" s="1289"/>
      <c r="K67" s="1289"/>
      <c r="L67" s="1295"/>
      <c r="M67" s="1291"/>
      <c r="N67" s="1291"/>
      <c r="O67" s="1291"/>
      <c r="P67" s="290"/>
      <c r="Q67" s="288"/>
      <c r="R67" s="289"/>
      <c r="S67" s="2012" t="str">
        <f>INDEX(PT_DIFFERENTIATION_NUM_CS,MATCH(C67,PT_DIFFERENTIATION_CS_ID,0))</f>
        <v>2.1.1</v>
      </c>
      <c r="T67" s="246" t="s">
        <v>426</v>
      </c>
      <c r="U67" s="237"/>
      <c r="V67" s="5373"/>
      <c r="W67" s="5374"/>
      <c r="X67" s="5374"/>
      <c r="Y67" s="5374"/>
      <c r="Z67" s="5374"/>
      <c r="AA67" s="5374"/>
      <c r="AB67" s="5374"/>
      <c r="AC67" s="5375"/>
      <c r="AD67" s="5373" t="str">
        <f>INDEX(PT_DIFFERENTIATION_CS,MATCH(C67,PT_DIFFERENTIATION_CS_ID,0))</f>
        <v>без дифференциации</v>
      </c>
      <c r="AE67" s="5374"/>
      <c r="AF67" s="5374"/>
      <c r="AG67" s="5374"/>
      <c r="AH67" s="5374"/>
      <c r="AI67" s="5374"/>
      <c r="AJ67" s="5374"/>
      <c r="AK67" s="5374"/>
      <c r="AL67" s="5373"/>
      <c r="AM67" s="5374"/>
      <c r="AN67" s="5374"/>
      <c r="AO67" s="5374"/>
      <c r="AP67" s="5374"/>
      <c r="AQ67" s="5374"/>
      <c r="AR67" s="5374"/>
      <c r="AS67" s="5375"/>
      <c r="AT67" s="5373"/>
      <c r="AU67" s="5374"/>
      <c r="AV67" s="5374"/>
      <c r="AW67" s="5374"/>
      <c r="AX67" s="5374"/>
      <c r="AY67" s="5374"/>
      <c r="AZ67" s="5374"/>
      <c r="BA67" s="5375"/>
      <c r="BB67" s="5373"/>
      <c r="BC67" s="5374"/>
      <c r="BD67" s="5374"/>
      <c r="BE67" s="5374"/>
      <c r="BF67" s="5374"/>
      <c r="BG67" s="5374"/>
      <c r="BH67" s="5374"/>
      <c r="BI67" s="5375"/>
      <c r="BJ67" s="5373"/>
      <c r="BK67" s="5374"/>
      <c r="BL67" s="5374"/>
      <c r="BM67" s="5374"/>
      <c r="BN67" s="5374"/>
      <c r="BO67" s="5374"/>
      <c r="BP67" s="5374"/>
      <c r="BQ67" s="5375"/>
      <c r="BR67" s="5373"/>
      <c r="BS67" s="5374"/>
      <c r="BT67" s="5374"/>
      <c r="BU67" s="5374"/>
      <c r="BV67" s="5374"/>
      <c r="BW67" s="5374"/>
      <c r="BX67" s="5374"/>
      <c r="BY67" s="5375"/>
      <c r="BZ67" s="5373"/>
      <c r="CA67" s="5374"/>
      <c r="CB67" s="5374"/>
      <c r="CC67" s="5374"/>
      <c r="CD67" s="5374"/>
      <c r="CE67" s="5374"/>
      <c r="CF67" s="5374"/>
      <c r="CG67" s="5375"/>
      <c r="CH67" s="5373"/>
      <c r="CI67" s="5374"/>
      <c r="CJ67" s="5374"/>
      <c r="CK67" s="5374"/>
      <c r="CL67" s="5374"/>
      <c r="CM67" s="5374"/>
      <c r="CN67" s="5374"/>
      <c r="CO67" s="5375"/>
      <c r="CP67" s="5373"/>
      <c r="CQ67" s="5374"/>
      <c r="CR67" s="5374"/>
      <c r="CS67" s="5374"/>
      <c r="CT67" s="5374"/>
      <c r="CU67" s="5374"/>
      <c r="CV67" s="5374"/>
      <c r="CW67" s="5375"/>
      <c r="CX67" s="5373"/>
      <c r="CY67" s="5374"/>
      <c r="CZ67" s="5374"/>
      <c r="DA67" s="5374"/>
      <c r="DB67" s="5374"/>
      <c r="DC67" s="5374"/>
      <c r="DD67" s="5374"/>
      <c r="DE67" s="5376"/>
      <c r="DF67" s="5375"/>
      <c r="DG67" s="1184" t="s">
        <v>427</v>
      </c>
      <c r="DH67" s="1568"/>
      <c r="DI67" s="1550"/>
      <c r="DJ67" s="1550" t="str">
        <f t="shared" si="1"/>
        <v xml:space="preserve">Наименование системы теплоснабжения </v>
      </c>
      <c r="DK67" s="1550"/>
      <c r="DL67" s="1550"/>
      <c r="DM67" s="1561">
        <v>0</v>
      </c>
    </row>
    <row r="68" spans="1:117" s="1774" customFormat="1" ht="21" customHeight="1">
      <c r="A68" s="1289"/>
      <c r="B68" s="1289"/>
      <c r="C68" s="1289"/>
      <c r="D68" s="1289" t="s">
        <v>171</v>
      </c>
      <c r="E68" s="5382">
        <v>1</v>
      </c>
      <c r="F68" s="5382"/>
      <c r="G68" s="5382"/>
      <c r="H68" s="5381">
        <v>1</v>
      </c>
      <c r="I68" s="1289"/>
      <c r="J68" s="1289"/>
      <c r="K68" s="1289"/>
      <c r="L68" s="1295"/>
      <c r="M68" s="1291"/>
      <c r="N68" s="1291"/>
      <c r="O68" s="1291"/>
      <c r="P68" s="290"/>
      <c r="Q68" s="288"/>
      <c r="R68" s="289"/>
      <c r="S68" s="2012" t="str">
        <f>INDEX(PT_DIFFERENTIATION_NUM_IST_TE,MATCH(D68,PT_DIFFERENTIATION_IST_TE_ID,0))</f>
        <v>2.1.1.1</v>
      </c>
      <c r="T68" s="247" t="s">
        <v>428</v>
      </c>
      <c r="U68" s="237"/>
      <c r="V68" s="5373"/>
      <c r="W68" s="5374"/>
      <c r="X68" s="5374"/>
      <c r="Y68" s="5374"/>
      <c r="Z68" s="5374"/>
      <c r="AA68" s="5374"/>
      <c r="AB68" s="5374"/>
      <c r="AC68" s="5375"/>
      <c r="AD68" s="5373" t="str">
        <f>INDEX(PT_DIFFERENTIATION_IST_TE,MATCH(D68,PT_DIFFERENTIATION_IST_TE_ID,0))</f>
        <v>без дифференциации</v>
      </c>
      <c r="AE68" s="5374"/>
      <c r="AF68" s="5374"/>
      <c r="AG68" s="5374"/>
      <c r="AH68" s="5374"/>
      <c r="AI68" s="5374"/>
      <c r="AJ68" s="5374"/>
      <c r="AK68" s="5374"/>
      <c r="AL68" s="5373"/>
      <c r="AM68" s="5374"/>
      <c r="AN68" s="5374"/>
      <c r="AO68" s="5374"/>
      <c r="AP68" s="5374"/>
      <c r="AQ68" s="5374"/>
      <c r="AR68" s="5374"/>
      <c r="AS68" s="5375"/>
      <c r="AT68" s="5373"/>
      <c r="AU68" s="5374"/>
      <c r="AV68" s="5374"/>
      <c r="AW68" s="5374"/>
      <c r="AX68" s="5374"/>
      <c r="AY68" s="5374"/>
      <c r="AZ68" s="5374"/>
      <c r="BA68" s="5375"/>
      <c r="BB68" s="5373"/>
      <c r="BC68" s="5374"/>
      <c r="BD68" s="5374"/>
      <c r="BE68" s="5374"/>
      <c r="BF68" s="5374"/>
      <c r="BG68" s="5374"/>
      <c r="BH68" s="5374"/>
      <c r="BI68" s="5375"/>
      <c r="BJ68" s="5373"/>
      <c r="BK68" s="5374"/>
      <c r="BL68" s="5374"/>
      <c r="BM68" s="5374"/>
      <c r="BN68" s="5374"/>
      <c r="BO68" s="5374"/>
      <c r="BP68" s="5374"/>
      <c r="BQ68" s="5375"/>
      <c r="BR68" s="5373"/>
      <c r="BS68" s="5374"/>
      <c r="BT68" s="5374"/>
      <c r="BU68" s="5374"/>
      <c r="BV68" s="5374"/>
      <c r="BW68" s="5374"/>
      <c r="BX68" s="5374"/>
      <c r="BY68" s="5375"/>
      <c r="BZ68" s="5373"/>
      <c r="CA68" s="5374"/>
      <c r="CB68" s="5374"/>
      <c r="CC68" s="5374"/>
      <c r="CD68" s="5374"/>
      <c r="CE68" s="5374"/>
      <c r="CF68" s="5374"/>
      <c r="CG68" s="5375"/>
      <c r="CH68" s="5373"/>
      <c r="CI68" s="5374"/>
      <c r="CJ68" s="5374"/>
      <c r="CK68" s="5374"/>
      <c r="CL68" s="5374"/>
      <c r="CM68" s="5374"/>
      <c r="CN68" s="5374"/>
      <c r="CO68" s="5375"/>
      <c r="CP68" s="5373"/>
      <c r="CQ68" s="5374"/>
      <c r="CR68" s="5374"/>
      <c r="CS68" s="5374"/>
      <c r="CT68" s="5374"/>
      <c r="CU68" s="5374"/>
      <c r="CV68" s="5374"/>
      <c r="CW68" s="5375"/>
      <c r="CX68" s="5373"/>
      <c r="CY68" s="5374"/>
      <c r="CZ68" s="5374"/>
      <c r="DA68" s="5374"/>
      <c r="DB68" s="5374"/>
      <c r="DC68" s="5374"/>
      <c r="DD68" s="5374"/>
      <c r="DE68" s="5376"/>
      <c r="DF68" s="5375"/>
      <c r="DG68" s="1184" t="s">
        <v>429</v>
      </c>
      <c r="DH68" s="1568"/>
      <c r="DI68" s="1550"/>
      <c r="DJ68" s="1550" t="str">
        <f t="shared" si="1"/>
        <v xml:space="preserve">Источник тепловой энергии  </v>
      </c>
      <c r="DK68" s="1550"/>
      <c r="DL68" s="1550"/>
      <c r="DM68" s="1561">
        <v>0</v>
      </c>
    </row>
    <row r="69" spans="1:117" s="1774" customFormat="1" ht="47.25" customHeight="1">
      <c r="A69" s="1289"/>
      <c r="B69" s="1289"/>
      <c r="C69" s="1289"/>
      <c r="D69" s="1289"/>
      <c r="E69" s="5382">
        <v>1</v>
      </c>
      <c r="F69" s="5382"/>
      <c r="G69" s="5382"/>
      <c r="H69" s="5382"/>
      <c r="I69" s="5383" t="str">
        <f>S68&amp;".1"</f>
        <v>2.1.1.1.1</v>
      </c>
      <c r="J69" s="1289"/>
      <c r="K69" s="1289"/>
      <c r="L69" s="1295" t="s">
        <v>430</v>
      </c>
      <c r="M69" s="1292"/>
      <c r="N69" s="1701"/>
      <c r="O69" s="1701"/>
      <c r="P69" s="5385">
        <v>1</v>
      </c>
      <c r="Q69" s="2014"/>
      <c r="R69" s="292"/>
      <c r="S69" s="2012" t="str">
        <f>$I69</f>
        <v>2.1.1.1.1</v>
      </c>
      <c r="T69" s="222" t="s">
        <v>431</v>
      </c>
      <c r="U69" s="237"/>
      <c r="V69" s="5366"/>
      <c r="W69" s="5367"/>
      <c r="X69" s="5367"/>
      <c r="Y69" s="5367"/>
      <c r="Z69" s="5367"/>
      <c r="AA69" s="5367"/>
      <c r="AB69" s="5367"/>
      <c r="AC69" s="5368"/>
      <c r="AD69" s="5366" t="s">
        <v>476</v>
      </c>
      <c r="AE69" s="5367"/>
      <c r="AF69" s="5367"/>
      <c r="AG69" s="5367"/>
      <c r="AH69" s="5367"/>
      <c r="AI69" s="5367"/>
      <c r="AJ69" s="5367"/>
      <c r="AK69" s="5367"/>
      <c r="AL69" s="5366"/>
      <c r="AM69" s="5367"/>
      <c r="AN69" s="5367"/>
      <c r="AO69" s="5367"/>
      <c r="AP69" s="5367"/>
      <c r="AQ69" s="5367"/>
      <c r="AR69" s="5367"/>
      <c r="AS69" s="5368"/>
      <c r="AT69" s="5366"/>
      <c r="AU69" s="5367"/>
      <c r="AV69" s="5367"/>
      <c r="AW69" s="5367"/>
      <c r="AX69" s="5367"/>
      <c r="AY69" s="5367"/>
      <c r="AZ69" s="5367"/>
      <c r="BA69" s="5368"/>
      <c r="BB69" s="5366"/>
      <c r="BC69" s="5367"/>
      <c r="BD69" s="5367"/>
      <c r="BE69" s="5367"/>
      <c r="BF69" s="5367"/>
      <c r="BG69" s="5367"/>
      <c r="BH69" s="5367"/>
      <c r="BI69" s="5368"/>
      <c r="BJ69" s="5366"/>
      <c r="BK69" s="5367"/>
      <c r="BL69" s="5367"/>
      <c r="BM69" s="5367"/>
      <c r="BN69" s="5367"/>
      <c r="BO69" s="5367"/>
      <c r="BP69" s="5367"/>
      <c r="BQ69" s="5368"/>
      <c r="BR69" s="5366"/>
      <c r="BS69" s="5367"/>
      <c r="BT69" s="5367"/>
      <c r="BU69" s="5367"/>
      <c r="BV69" s="5367"/>
      <c r="BW69" s="5367"/>
      <c r="BX69" s="5367"/>
      <c r="BY69" s="5368"/>
      <c r="BZ69" s="5366"/>
      <c r="CA69" s="5367"/>
      <c r="CB69" s="5367"/>
      <c r="CC69" s="5367"/>
      <c r="CD69" s="5367"/>
      <c r="CE69" s="5367"/>
      <c r="CF69" s="5367"/>
      <c r="CG69" s="5368"/>
      <c r="CH69" s="5366"/>
      <c r="CI69" s="5367"/>
      <c r="CJ69" s="5367"/>
      <c r="CK69" s="5367"/>
      <c r="CL69" s="5367"/>
      <c r="CM69" s="5367"/>
      <c r="CN69" s="5367"/>
      <c r="CO69" s="5368"/>
      <c r="CP69" s="5366"/>
      <c r="CQ69" s="5367"/>
      <c r="CR69" s="5367"/>
      <c r="CS69" s="5367"/>
      <c r="CT69" s="5367"/>
      <c r="CU69" s="5367"/>
      <c r="CV69" s="5367"/>
      <c r="CW69" s="5368"/>
      <c r="CX69" s="5366"/>
      <c r="CY69" s="5367"/>
      <c r="CZ69" s="5367"/>
      <c r="DA69" s="5367"/>
      <c r="DB69" s="5367"/>
      <c r="DC69" s="5367"/>
      <c r="DD69" s="5367"/>
      <c r="DE69" s="5369"/>
      <c r="DF69" s="5368"/>
      <c r="DG69" s="1184" t="s">
        <v>432</v>
      </c>
      <c r="DH69" s="1568"/>
      <c r="DI69" s="1550"/>
      <c r="DJ69" s="1550" t="str">
        <f t="shared" si="1"/>
        <v>Схема подключения теплопотребляющей установки к коллектору источника тепловой энергии</v>
      </c>
      <c r="DK69" s="1550"/>
      <c r="DL69" s="1550"/>
      <c r="DM69" s="1561">
        <v>0</v>
      </c>
    </row>
    <row r="70" spans="1:117" s="1774" customFormat="1" ht="21" customHeight="1">
      <c r="A70" s="1289"/>
      <c r="B70" s="1289"/>
      <c r="C70" s="1289"/>
      <c r="D70" s="1289"/>
      <c r="E70" s="5382">
        <v>1</v>
      </c>
      <c r="F70" s="5382"/>
      <c r="G70" s="5382"/>
      <c r="H70" s="5382"/>
      <c r="I70" s="5384"/>
      <c r="J70" s="5383" t="str">
        <f>I69&amp;".1"</f>
        <v>2.1.1.1.1.1</v>
      </c>
      <c r="K70" s="1289"/>
      <c r="L70" s="1295" t="s">
        <v>433</v>
      </c>
      <c r="M70" s="1292"/>
      <c r="N70" s="1292"/>
      <c r="O70" s="1701"/>
      <c r="P70" s="5385"/>
      <c r="Q70" s="5385">
        <v>1</v>
      </c>
      <c r="R70" s="293"/>
      <c r="S70" s="2012" t="str">
        <f>$J70</f>
        <v>2.1.1.1.1.1</v>
      </c>
      <c r="T70" s="223" t="s">
        <v>434</v>
      </c>
      <c r="U70" s="237"/>
      <c r="V70" s="5366"/>
      <c r="W70" s="5367"/>
      <c r="X70" s="5367"/>
      <c r="Y70" s="5367"/>
      <c r="Z70" s="5367"/>
      <c r="AA70" s="5367"/>
      <c r="AB70" s="5367"/>
      <c r="AC70" s="5368"/>
      <c r="AD70" s="5366" t="s">
        <v>472</v>
      </c>
      <c r="AE70" s="5367"/>
      <c r="AF70" s="5367"/>
      <c r="AG70" s="5367"/>
      <c r="AH70" s="5367"/>
      <c r="AI70" s="5367"/>
      <c r="AJ70" s="5367"/>
      <c r="AK70" s="5367"/>
      <c r="AL70" s="5366"/>
      <c r="AM70" s="5367"/>
      <c r="AN70" s="5367"/>
      <c r="AO70" s="5367"/>
      <c r="AP70" s="5367"/>
      <c r="AQ70" s="5367"/>
      <c r="AR70" s="5367"/>
      <c r="AS70" s="5368"/>
      <c r="AT70" s="5366"/>
      <c r="AU70" s="5367"/>
      <c r="AV70" s="5367"/>
      <c r="AW70" s="5367"/>
      <c r="AX70" s="5367"/>
      <c r="AY70" s="5367"/>
      <c r="AZ70" s="5367"/>
      <c r="BA70" s="5368"/>
      <c r="BB70" s="5366"/>
      <c r="BC70" s="5367"/>
      <c r="BD70" s="5367"/>
      <c r="BE70" s="5367"/>
      <c r="BF70" s="5367"/>
      <c r="BG70" s="5367"/>
      <c r="BH70" s="5367"/>
      <c r="BI70" s="5368"/>
      <c r="BJ70" s="5366"/>
      <c r="BK70" s="5367"/>
      <c r="BL70" s="5367"/>
      <c r="BM70" s="5367"/>
      <c r="BN70" s="5367"/>
      <c r="BO70" s="5367"/>
      <c r="BP70" s="5367"/>
      <c r="BQ70" s="5368"/>
      <c r="BR70" s="5366"/>
      <c r="BS70" s="5367"/>
      <c r="BT70" s="5367"/>
      <c r="BU70" s="5367"/>
      <c r="BV70" s="5367"/>
      <c r="BW70" s="5367"/>
      <c r="BX70" s="5367"/>
      <c r="BY70" s="5368"/>
      <c r="BZ70" s="5366"/>
      <c r="CA70" s="5367"/>
      <c r="CB70" s="5367"/>
      <c r="CC70" s="5367"/>
      <c r="CD70" s="5367"/>
      <c r="CE70" s="5367"/>
      <c r="CF70" s="5367"/>
      <c r="CG70" s="5368"/>
      <c r="CH70" s="5366"/>
      <c r="CI70" s="5367"/>
      <c r="CJ70" s="5367"/>
      <c r="CK70" s="5367"/>
      <c r="CL70" s="5367"/>
      <c r="CM70" s="5367"/>
      <c r="CN70" s="5367"/>
      <c r="CO70" s="5368"/>
      <c r="CP70" s="5366"/>
      <c r="CQ70" s="5367"/>
      <c r="CR70" s="5367"/>
      <c r="CS70" s="5367"/>
      <c r="CT70" s="5367"/>
      <c r="CU70" s="5367"/>
      <c r="CV70" s="5367"/>
      <c r="CW70" s="5368"/>
      <c r="CX70" s="5366"/>
      <c r="CY70" s="5367"/>
      <c r="CZ70" s="5367"/>
      <c r="DA70" s="5367"/>
      <c r="DB70" s="5367"/>
      <c r="DC70" s="5367"/>
      <c r="DD70" s="5367"/>
      <c r="DE70" s="5369"/>
      <c r="DF70" s="5368"/>
      <c r="DG70" s="1184" t="s">
        <v>435</v>
      </c>
      <c r="DH70" s="1568"/>
      <c r="DI70" s="1550"/>
      <c r="DJ70" s="1550" t="str">
        <f t="shared" si="1"/>
        <v>Группа потребителей</v>
      </c>
      <c r="DK70" s="1550"/>
      <c r="DL70" s="1550"/>
      <c r="DM70" s="1561">
        <v>0</v>
      </c>
    </row>
    <row r="71" spans="1:117" s="1774" customFormat="1" ht="21" customHeight="1">
      <c r="A71" s="1289"/>
      <c r="B71" s="1289"/>
      <c r="C71" s="1289"/>
      <c r="D71" s="1289"/>
      <c r="E71" s="5382">
        <v>1</v>
      </c>
      <c r="F71" s="5382"/>
      <c r="G71" s="5382"/>
      <c r="H71" s="5382"/>
      <c r="I71" s="5384"/>
      <c r="J71" s="5384"/>
      <c r="K71" s="5383" t="str">
        <f>J70&amp;".1"</f>
        <v>2.1.1.1.1.1.1</v>
      </c>
      <c r="L71" s="1295" t="s">
        <v>436</v>
      </c>
      <c r="M71" s="1292"/>
      <c r="N71" s="1292"/>
      <c r="O71" s="1292"/>
      <c r="P71" s="5385"/>
      <c r="Q71" s="5385"/>
      <c r="R71" s="293">
        <v>1</v>
      </c>
      <c r="S71" s="2012" t="str">
        <f>$K71</f>
        <v>2.1.1.1.1.1.1</v>
      </c>
      <c r="T71" s="1273" t="s">
        <v>473</v>
      </c>
      <c r="U71" s="237"/>
      <c r="V71" s="687"/>
      <c r="W71" s="262"/>
      <c r="X71" s="687"/>
      <c r="Y71" s="1183"/>
      <c r="Z71" s="5386"/>
      <c r="AA71" s="5245" t="s">
        <v>65</v>
      </c>
      <c r="AB71" s="5386"/>
      <c r="AC71" s="5245" t="s">
        <v>65</v>
      </c>
      <c r="AD71" s="687">
        <v>1368.99</v>
      </c>
      <c r="AE71" s="262"/>
      <c r="AF71" s="687"/>
      <c r="AG71" s="1183"/>
      <c r="AH71" s="5386">
        <v>45292</v>
      </c>
      <c r="AI71" s="5245" t="s">
        <v>65</v>
      </c>
      <c r="AJ71" s="5386">
        <v>45473</v>
      </c>
      <c r="AK71" s="5245" t="s">
        <v>65</v>
      </c>
      <c r="AL71" s="687">
        <v>1465.37</v>
      </c>
      <c r="AM71" s="262"/>
      <c r="AN71" s="687"/>
      <c r="AO71" s="1183"/>
      <c r="AP71" s="5386">
        <v>45474</v>
      </c>
      <c r="AQ71" s="5245" t="s">
        <v>65</v>
      </c>
      <c r="AR71" s="5386">
        <v>45657</v>
      </c>
      <c r="AS71" s="5245" t="s">
        <v>65</v>
      </c>
      <c r="AT71" s="687">
        <v>1468.64</v>
      </c>
      <c r="AU71" s="262"/>
      <c r="AV71" s="687"/>
      <c r="AW71" s="1183"/>
      <c r="AX71" s="5386">
        <v>45658</v>
      </c>
      <c r="AY71" s="5245" t="s">
        <v>65</v>
      </c>
      <c r="AZ71" s="5386">
        <v>45838</v>
      </c>
      <c r="BA71" s="5245" t="s">
        <v>65</v>
      </c>
      <c r="BB71" s="687">
        <v>1591.98</v>
      </c>
      <c r="BC71" s="262"/>
      <c r="BD71" s="687"/>
      <c r="BE71" s="1183"/>
      <c r="BF71" s="5386">
        <v>45839</v>
      </c>
      <c r="BG71" s="5245" t="s">
        <v>65</v>
      </c>
      <c r="BH71" s="5386">
        <v>46022</v>
      </c>
      <c r="BI71" s="5245" t="s">
        <v>65</v>
      </c>
      <c r="BJ71" s="687">
        <v>1591.98</v>
      </c>
      <c r="BK71" s="262"/>
      <c r="BL71" s="687"/>
      <c r="BM71" s="1183"/>
      <c r="BN71" s="5386">
        <v>46023</v>
      </c>
      <c r="BO71" s="5245" t="s">
        <v>65</v>
      </c>
      <c r="BP71" s="5386">
        <v>46203</v>
      </c>
      <c r="BQ71" s="5245" t="s">
        <v>65</v>
      </c>
      <c r="BR71" s="687">
        <v>1620.49</v>
      </c>
      <c r="BS71" s="262"/>
      <c r="BT71" s="687"/>
      <c r="BU71" s="1183"/>
      <c r="BV71" s="5386">
        <v>46204</v>
      </c>
      <c r="BW71" s="5245" t="s">
        <v>65</v>
      </c>
      <c r="BX71" s="5386">
        <v>46387</v>
      </c>
      <c r="BY71" s="5245" t="s">
        <v>65</v>
      </c>
      <c r="BZ71" s="687">
        <v>1620.49</v>
      </c>
      <c r="CA71" s="262"/>
      <c r="CB71" s="687"/>
      <c r="CC71" s="1183"/>
      <c r="CD71" s="5386">
        <v>46388</v>
      </c>
      <c r="CE71" s="5245" t="s">
        <v>65</v>
      </c>
      <c r="CF71" s="5386">
        <v>46568</v>
      </c>
      <c r="CG71" s="5245" t="s">
        <v>65</v>
      </c>
      <c r="CH71" s="687">
        <v>1716.79</v>
      </c>
      <c r="CI71" s="262"/>
      <c r="CJ71" s="687"/>
      <c r="CK71" s="1183"/>
      <c r="CL71" s="5386">
        <v>46569</v>
      </c>
      <c r="CM71" s="5245" t="s">
        <v>65</v>
      </c>
      <c r="CN71" s="5386">
        <v>46752</v>
      </c>
      <c r="CO71" s="5245" t="s">
        <v>65</v>
      </c>
      <c r="CP71" s="687">
        <v>1716.79</v>
      </c>
      <c r="CQ71" s="262"/>
      <c r="CR71" s="687"/>
      <c r="CS71" s="1183"/>
      <c r="CT71" s="5386">
        <v>46753</v>
      </c>
      <c r="CU71" s="5245" t="s">
        <v>65</v>
      </c>
      <c r="CV71" s="5386">
        <v>46934</v>
      </c>
      <c r="CW71" s="5245" t="s">
        <v>65</v>
      </c>
      <c r="CX71" s="687">
        <v>1735.07</v>
      </c>
      <c r="CY71" s="262"/>
      <c r="CZ71" s="687"/>
      <c r="DA71" s="1183"/>
      <c r="DB71" s="5386">
        <v>46935</v>
      </c>
      <c r="DC71" s="5245" t="s">
        <v>65</v>
      </c>
      <c r="DD71" s="5386">
        <v>47118</v>
      </c>
      <c r="DE71" s="5245" t="s">
        <v>65</v>
      </c>
      <c r="DF71" s="262"/>
      <c r="DG71" s="5405" t="s">
        <v>437</v>
      </c>
      <c r="DH71" s="1568" t="e">
        <f ca="1">STRCHECKDATE(V72:DF72)</f>
        <v>#NAME?</v>
      </c>
      <c r="DI71" s="1550"/>
      <c r="DJ71" s="1550" t="str">
        <f t="shared" si="1"/>
        <v>вода</v>
      </c>
      <c r="DK71" s="1550"/>
      <c r="DL71" s="1550"/>
      <c r="DM71" s="1561">
        <v>0</v>
      </c>
    </row>
    <row r="72" spans="1:117" s="1774" customFormat="1" ht="0.75" customHeight="1">
      <c r="A72" s="1289"/>
      <c r="B72" s="1289"/>
      <c r="C72" s="1289"/>
      <c r="D72" s="1289"/>
      <c r="E72" s="5382">
        <v>1</v>
      </c>
      <c r="F72" s="5382"/>
      <c r="G72" s="5382"/>
      <c r="H72" s="5382"/>
      <c r="I72" s="5384"/>
      <c r="J72" s="5384"/>
      <c r="K72" s="5383"/>
      <c r="L72" s="1295"/>
      <c r="M72" s="1292"/>
      <c r="N72" s="1292"/>
      <c r="O72" s="1292"/>
      <c r="P72" s="5385"/>
      <c r="Q72" s="5385"/>
      <c r="R72" s="293"/>
      <c r="S72" s="2019"/>
      <c r="T72" s="237"/>
      <c r="U72" s="237"/>
      <c r="V72" s="262"/>
      <c r="W72" s="262"/>
      <c r="X72" s="262"/>
      <c r="Y72" s="265" t="str">
        <f>Z71&amp;"-"&amp;AB71</f>
        <v>-</v>
      </c>
      <c r="Z72" s="5387"/>
      <c r="AA72" s="5245"/>
      <c r="AB72" s="5387"/>
      <c r="AC72" s="5245"/>
      <c r="AD72" s="262"/>
      <c r="AE72" s="262"/>
      <c r="AF72" s="262"/>
      <c r="AG72" s="265" t="str">
        <f>AH71&amp;"-"&amp;AJ71</f>
        <v>45292-45473</v>
      </c>
      <c r="AH72" s="5387"/>
      <c r="AI72" s="5245"/>
      <c r="AJ72" s="5387"/>
      <c r="AK72" s="5245"/>
      <c r="AL72" s="262"/>
      <c r="AM72" s="262"/>
      <c r="AN72" s="262"/>
      <c r="AO72" s="265" t="str">
        <f>AP71&amp;"-"&amp;AR71</f>
        <v>45474-45657</v>
      </c>
      <c r="AP72" s="5387"/>
      <c r="AQ72" s="5245"/>
      <c r="AR72" s="5387"/>
      <c r="AS72" s="5245"/>
      <c r="AT72" s="262"/>
      <c r="AU72" s="262"/>
      <c r="AV72" s="262"/>
      <c r="AW72" s="265" t="str">
        <f>AX71&amp;"-"&amp;AZ71</f>
        <v>45658-45838</v>
      </c>
      <c r="AX72" s="5387"/>
      <c r="AY72" s="5245"/>
      <c r="AZ72" s="5387"/>
      <c r="BA72" s="5245"/>
      <c r="BB72" s="262"/>
      <c r="BC72" s="262"/>
      <c r="BD72" s="262"/>
      <c r="BE72" s="265" t="str">
        <f>BF71&amp;"-"&amp;BH71</f>
        <v>45839-46022</v>
      </c>
      <c r="BF72" s="5387"/>
      <c r="BG72" s="5245"/>
      <c r="BH72" s="5387"/>
      <c r="BI72" s="5245"/>
      <c r="BJ72" s="262"/>
      <c r="BK72" s="262"/>
      <c r="BL72" s="262"/>
      <c r="BM72" s="265" t="str">
        <f>BN71&amp;"-"&amp;BP71</f>
        <v>46023-46203</v>
      </c>
      <c r="BN72" s="5387"/>
      <c r="BO72" s="5245"/>
      <c r="BP72" s="5387"/>
      <c r="BQ72" s="5245"/>
      <c r="BR72" s="262"/>
      <c r="BS72" s="262"/>
      <c r="BT72" s="262"/>
      <c r="BU72" s="265" t="str">
        <f>BV71&amp;"-"&amp;BX71</f>
        <v>46204-46387</v>
      </c>
      <c r="BV72" s="5387"/>
      <c r="BW72" s="5245"/>
      <c r="BX72" s="5387"/>
      <c r="BY72" s="5245"/>
      <c r="BZ72" s="262"/>
      <c r="CA72" s="262"/>
      <c r="CB72" s="262"/>
      <c r="CC72" s="265" t="str">
        <f>CD71&amp;"-"&amp;CF71</f>
        <v>46388-46568</v>
      </c>
      <c r="CD72" s="5387"/>
      <c r="CE72" s="5245"/>
      <c r="CF72" s="5387"/>
      <c r="CG72" s="5245"/>
      <c r="CH72" s="262"/>
      <c r="CI72" s="262"/>
      <c r="CJ72" s="262"/>
      <c r="CK72" s="265" t="str">
        <f>CL71&amp;"-"&amp;CN71</f>
        <v>46569-46752</v>
      </c>
      <c r="CL72" s="5387"/>
      <c r="CM72" s="5245"/>
      <c r="CN72" s="5387"/>
      <c r="CO72" s="5245"/>
      <c r="CP72" s="262"/>
      <c r="CQ72" s="262"/>
      <c r="CR72" s="262"/>
      <c r="CS72" s="265" t="str">
        <f>CT71&amp;"-"&amp;CV71</f>
        <v>46753-46934</v>
      </c>
      <c r="CT72" s="5387"/>
      <c r="CU72" s="5245"/>
      <c r="CV72" s="5387"/>
      <c r="CW72" s="5245"/>
      <c r="CX72" s="262"/>
      <c r="CY72" s="262"/>
      <c r="CZ72" s="262"/>
      <c r="DA72" s="265" t="str">
        <f>DB71&amp;"-"&amp;DD71</f>
        <v>46935-47118</v>
      </c>
      <c r="DB72" s="5387"/>
      <c r="DC72" s="5245"/>
      <c r="DD72" s="5387"/>
      <c r="DE72" s="5245"/>
      <c r="DF72" s="262"/>
      <c r="DG72" s="5406"/>
      <c r="DH72" s="1568"/>
      <c r="DI72" s="1550"/>
      <c r="DJ72" s="1550" t="str">
        <f t="shared" si="1"/>
        <v/>
      </c>
      <c r="DK72" s="1550"/>
      <c r="DL72" s="1550"/>
      <c r="DM72" s="1561">
        <v>0</v>
      </c>
    </row>
    <row r="73" spans="1:117" s="1774" customFormat="1" ht="15" customHeight="1">
      <c r="A73" s="1289"/>
      <c r="B73" s="1289"/>
      <c r="C73" s="1289"/>
      <c r="D73" s="1289"/>
      <c r="E73" s="5382">
        <v>1</v>
      </c>
      <c r="F73" s="5382"/>
      <c r="G73" s="5382"/>
      <c r="H73" s="5382"/>
      <c r="I73" s="5384"/>
      <c r="J73" s="5383"/>
      <c r="K73" s="1289"/>
      <c r="L73" s="1295"/>
      <c r="M73" s="1292"/>
      <c r="N73" s="1292"/>
      <c r="O73" s="1701"/>
      <c r="P73" s="5385"/>
      <c r="Q73" s="5385"/>
      <c r="R73" s="292"/>
      <c r="S73" s="2202"/>
      <c r="T73" s="2203" t="s">
        <v>438</v>
      </c>
      <c r="U73" s="2204"/>
      <c r="V73" s="2205"/>
      <c r="W73" s="2206"/>
      <c r="X73" s="2207"/>
      <c r="Y73" s="2208"/>
      <c r="Z73" s="2209"/>
      <c r="AA73" s="2210"/>
      <c r="AB73" s="2211"/>
      <c r="AC73" s="2212"/>
      <c r="AD73" s="2213"/>
      <c r="AE73" s="2214"/>
      <c r="AF73" s="2215"/>
      <c r="AG73" s="2216"/>
      <c r="AH73" s="2217"/>
      <c r="AI73" s="2218"/>
      <c r="AJ73" s="2219"/>
      <c r="AK73" s="2220"/>
      <c r="AL73" s="3074"/>
      <c r="AM73" s="3075"/>
      <c r="AN73" s="3076"/>
      <c r="AO73" s="3077"/>
      <c r="AP73" s="3078"/>
      <c r="AQ73" s="3079"/>
      <c r="AR73" s="3080"/>
      <c r="AS73" s="3081"/>
      <c r="AT73" s="3082"/>
      <c r="AU73" s="3083"/>
      <c r="AV73" s="3084"/>
      <c r="AW73" s="3085"/>
      <c r="AX73" s="3086"/>
      <c r="AY73" s="3087"/>
      <c r="AZ73" s="3088"/>
      <c r="BA73" s="3089"/>
      <c r="BB73" s="3090"/>
      <c r="BC73" s="3091"/>
      <c r="BD73" s="3092"/>
      <c r="BE73" s="3093"/>
      <c r="BF73" s="3094"/>
      <c r="BG73" s="3095"/>
      <c r="BH73" s="3096"/>
      <c r="BI73" s="3097"/>
      <c r="BJ73" s="3098"/>
      <c r="BK73" s="3099"/>
      <c r="BL73" s="3100"/>
      <c r="BM73" s="3101"/>
      <c r="BN73" s="3102"/>
      <c r="BO73" s="3103"/>
      <c r="BP73" s="3104"/>
      <c r="BQ73" s="3105"/>
      <c r="BR73" s="3106"/>
      <c r="BS73" s="3107"/>
      <c r="BT73" s="3108"/>
      <c r="BU73" s="3109"/>
      <c r="BV73" s="3110"/>
      <c r="BW73" s="3111"/>
      <c r="BX73" s="3112"/>
      <c r="BY73" s="3113"/>
      <c r="BZ73" s="3114"/>
      <c r="CA73" s="3115"/>
      <c r="CB73" s="3116"/>
      <c r="CC73" s="3117"/>
      <c r="CD73" s="3118"/>
      <c r="CE73" s="3119"/>
      <c r="CF73" s="3120"/>
      <c r="CG73" s="3121"/>
      <c r="CH73" s="3122"/>
      <c r="CI73" s="3123"/>
      <c r="CJ73" s="3124"/>
      <c r="CK73" s="3125"/>
      <c r="CL73" s="3126"/>
      <c r="CM73" s="3127"/>
      <c r="CN73" s="3128"/>
      <c r="CO73" s="3129"/>
      <c r="CP73" s="3130"/>
      <c r="CQ73" s="3131"/>
      <c r="CR73" s="3132"/>
      <c r="CS73" s="3133"/>
      <c r="CT73" s="3134"/>
      <c r="CU73" s="3135"/>
      <c r="CV73" s="3136"/>
      <c r="CW73" s="3137"/>
      <c r="CX73" s="3138"/>
      <c r="CY73" s="3139"/>
      <c r="CZ73" s="3140"/>
      <c r="DA73" s="3141"/>
      <c r="DB73" s="3142"/>
      <c r="DC73" s="3143"/>
      <c r="DD73" s="3144"/>
      <c r="DE73" s="5173"/>
      <c r="DF73" s="2221"/>
      <c r="DG73" s="5407"/>
      <c r="DH73" s="1568"/>
      <c r="DI73" s="1550"/>
      <c r="DJ73" s="1550" t="str">
        <f t="shared" si="1"/>
        <v>Добавить вид теплоносителя (параметры теплоносителя)</v>
      </c>
      <c r="DK73" s="1550"/>
      <c r="DL73" s="1550"/>
      <c r="DM73" s="1561">
        <v>0</v>
      </c>
    </row>
    <row r="74" spans="1:117" s="1774" customFormat="1" ht="15" customHeight="1">
      <c r="A74" s="1289"/>
      <c r="B74" s="1289"/>
      <c r="C74" s="1289"/>
      <c r="D74" s="1289"/>
      <c r="E74" s="5382">
        <v>1</v>
      </c>
      <c r="F74" s="5382"/>
      <c r="G74" s="5382"/>
      <c r="H74" s="5382"/>
      <c r="I74" s="5383"/>
      <c r="J74" s="1289"/>
      <c r="K74" s="1289"/>
      <c r="L74" s="1295"/>
      <c r="M74" s="1292"/>
      <c r="N74" s="1701"/>
      <c r="O74" s="1701"/>
      <c r="P74" s="5385"/>
      <c r="Q74" s="2014"/>
      <c r="R74" s="292"/>
      <c r="S74" s="2222"/>
      <c r="T74" s="2223" t="s">
        <v>439</v>
      </c>
      <c r="U74" s="2224"/>
      <c r="V74" s="2225"/>
      <c r="W74" s="2226"/>
      <c r="X74" s="2227"/>
      <c r="Y74" s="2228"/>
      <c r="Z74" s="2229"/>
      <c r="AA74" s="2230"/>
      <c r="AB74" s="2231"/>
      <c r="AC74" s="2232"/>
      <c r="AD74" s="2233"/>
      <c r="AE74" s="2234"/>
      <c r="AF74" s="2235"/>
      <c r="AG74" s="2236"/>
      <c r="AH74" s="2237"/>
      <c r="AI74" s="2238"/>
      <c r="AJ74" s="2239"/>
      <c r="AK74" s="2240"/>
      <c r="AL74" s="3145"/>
      <c r="AM74" s="3146"/>
      <c r="AN74" s="3147"/>
      <c r="AO74" s="3148"/>
      <c r="AP74" s="3149"/>
      <c r="AQ74" s="3150"/>
      <c r="AR74" s="3151"/>
      <c r="AS74" s="3152"/>
      <c r="AT74" s="3153"/>
      <c r="AU74" s="3154"/>
      <c r="AV74" s="3155"/>
      <c r="AW74" s="3156"/>
      <c r="AX74" s="3157"/>
      <c r="AY74" s="3158"/>
      <c r="AZ74" s="3159"/>
      <c r="BA74" s="3160"/>
      <c r="BB74" s="3161"/>
      <c r="BC74" s="3162"/>
      <c r="BD74" s="3163"/>
      <c r="BE74" s="3164"/>
      <c r="BF74" s="3165"/>
      <c r="BG74" s="3166"/>
      <c r="BH74" s="3167"/>
      <c r="BI74" s="3168"/>
      <c r="BJ74" s="3169"/>
      <c r="BK74" s="3170"/>
      <c r="BL74" s="3171"/>
      <c r="BM74" s="3172"/>
      <c r="BN74" s="3173"/>
      <c r="BO74" s="3174"/>
      <c r="BP74" s="3175"/>
      <c r="BQ74" s="3176"/>
      <c r="BR74" s="3177"/>
      <c r="BS74" s="3178"/>
      <c r="BT74" s="3179"/>
      <c r="BU74" s="3180"/>
      <c r="BV74" s="3181"/>
      <c r="BW74" s="3182"/>
      <c r="BX74" s="3183"/>
      <c r="BY74" s="3184"/>
      <c r="BZ74" s="3185"/>
      <c r="CA74" s="3186"/>
      <c r="CB74" s="3187"/>
      <c r="CC74" s="3188"/>
      <c r="CD74" s="3189"/>
      <c r="CE74" s="3190"/>
      <c r="CF74" s="3191"/>
      <c r="CG74" s="3192"/>
      <c r="CH74" s="3193"/>
      <c r="CI74" s="3194"/>
      <c r="CJ74" s="3195"/>
      <c r="CK74" s="3196"/>
      <c r="CL74" s="3197"/>
      <c r="CM74" s="3198"/>
      <c r="CN74" s="3199"/>
      <c r="CO74" s="3200"/>
      <c r="CP74" s="3201"/>
      <c r="CQ74" s="3202"/>
      <c r="CR74" s="3203"/>
      <c r="CS74" s="3204"/>
      <c r="CT74" s="3205"/>
      <c r="CU74" s="3206"/>
      <c r="CV74" s="3207"/>
      <c r="CW74" s="3208"/>
      <c r="CX74" s="3209"/>
      <c r="CY74" s="3210"/>
      <c r="CZ74" s="3211"/>
      <c r="DA74" s="3212"/>
      <c r="DB74" s="3213"/>
      <c r="DC74" s="3214"/>
      <c r="DD74" s="3215"/>
      <c r="DE74" s="5174"/>
      <c r="DF74" s="2241"/>
      <c r="DG74" s="2242"/>
      <c r="DH74" s="1568"/>
      <c r="DI74" s="1550"/>
      <c r="DJ74" s="1550" t="str">
        <f t="shared" si="1"/>
        <v>Добавить группу потребителей</v>
      </c>
      <c r="DK74" s="1550"/>
      <c r="DL74" s="1550"/>
      <c r="DM74" s="1561">
        <v>0</v>
      </c>
    </row>
    <row r="75" spans="1:117" s="1774" customFormat="1" ht="14.25" customHeight="1">
      <c r="A75" s="1289"/>
      <c r="B75" s="1289"/>
      <c r="C75" s="1289"/>
      <c r="D75" s="1289"/>
      <c r="E75" s="5382">
        <v>1</v>
      </c>
      <c r="F75" s="5382"/>
      <c r="G75" s="5382"/>
      <c r="H75" s="5381"/>
      <c r="I75" s="1289"/>
      <c r="J75" s="1289"/>
      <c r="K75" s="1289"/>
      <c r="L75" s="1295"/>
      <c r="M75" s="1291"/>
      <c r="N75" s="1291"/>
      <c r="O75" s="1292"/>
      <c r="P75" s="1747"/>
      <c r="Q75" s="311"/>
      <c r="R75" s="291"/>
      <c r="S75" s="2243"/>
      <c r="T75" s="2244" t="s">
        <v>440</v>
      </c>
      <c r="U75" s="2245"/>
      <c r="V75" s="2246"/>
      <c r="W75" s="2247"/>
      <c r="X75" s="2248"/>
      <c r="Y75" s="2249"/>
      <c r="Z75" s="2250"/>
      <c r="AA75" s="2251"/>
      <c r="AB75" s="2252"/>
      <c r="AC75" s="2253"/>
      <c r="AD75" s="2254"/>
      <c r="AE75" s="2255"/>
      <c r="AF75" s="2256"/>
      <c r="AG75" s="2257"/>
      <c r="AH75" s="2258"/>
      <c r="AI75" s="2259"/>
      <c r="AJ75" s="2260"/>
      <c r="AK75" s="2261"/>
      <c r="AL75" s="3216"/>
      <c r="AM75" s="3217"/>
      <c r="AN75" s="3218"/>
      <c r="AO75" s="3219"/>
      <c r="AP75" s="3220"/>
      <c r="AQ75" s="3221"/>
      <c r="AR75" s="3222"/>
      <c r="AS75" s="3223"/>
      <c r="AT75" s="3224"/>
      <c r="AU75" s="3225"/>
      <c r="AV75" s="3226"/>
      <c r="AW75" s="3227"/>
      <c r="AX75" s="3228"/>
      <c r="AY75" s="3229"/>
      <c r="AZ75" s="3230"/>
      <c r="BA75" s="3231"/>
      <c r="BB75" s="3232"/>
      <c r="BC75" s="3233"/>
      <c r="BD75" s="3234"/>
      <c r="BE75" s="3235"/>
      <c r="BF75" s="3236"/>
      <c r="BG75" s="3237"/>
      <c r="BH75" s="3238"/>
      <c r="BI75" s="3239"/>
      <c r="BJ75" s="3240"/>
      <c r="BK75" s="3241"/>
      <c r="BL75" s="3242"/>
      <c r="BM75" s="3243"/>
      <c r="BN75" s="3244"/>
      <c r="BO75" s="3245"/>
      <c r="BP75" s="3246"/>
      <c r="BQ75" s="3247"/>
      <c r="BR75" s="3248"/>
      <c r="BS75" s="3249"/>
      <c r="BT75" s="3250"/>
      <c r="BU75" s="3251"/>
      <c r="BV75" s="3252"/>
      <c r="BW75" s="3253"/>
      <c r="BX75" s="3254"/>
      <c r="BY75" s="3255"/>
      <c r="BZ75" s="3256"/>
      <c r="CA75" s="3257"/>
      <c r="CB75" s="3258"/>
      <c r="CC75" s="3259"/>
      <c r="CD75" s="3260"/>
      <c r="CE75" s="3261"/>
      <c r="CF75" s="3262"/>
      <c r="CG75" s="3263"/>
      <c r="CH75" s="3264"/>
      <c r="CI75" s="3265"/>
      <c r="CJ75" s="3266"/>
      <c r="CK75" s="3267"/>
      <c r="CL75" s="3268"/>
      <c r="CM75" s="3269"/>
      <c r="CN75" s="3270"/>
      <c r="CO75" s="3271"/>
      <c r="CP75" s="3272"/>
      <c r="CQ75" s="3273"/>
      <c r="CR75" s="3274"/>
      <c r="CS75" s="3275"/>
      <c r="CT75" s="3276"/>
      <c r="CU75" s="3277"/>
      <c r="CV75" s="3278"/>
      <c r="CW75" s="3279"/>
      <c r="CX75" s="3280"/>
      <c r="CY75" s="3281"/>
      <c r="CZ75" s="3282"/>
      <c r="DA75" s="3283"/>
      <c r="DB75" s="3284"/>
      <c r="DC75" s="3285"/>
      <c r="DD75" s="3286"/>
      <c r="DE75" s="5175"/>
      <c r="DF75" s="2262"/>
      <c r="DG75" s="2263"/>
      <c r="DH75" s="1568"/>
      <c r="DI75" s="1550"/>
      <c r="DJ75" s="1550" t="str">
        <f t="shared" ref="DJ75:DJ107" si="2">IF(T75="","",T75)</f>
        <v>Добавить схему подключения</v>
      </c>
      <c r="DK75" s="1550"/>
      <c r="DL75" s="1550"/>
      <c r="DM75" s="1561">
        <v>0</v>
      </c>
    </row>
    <row r="76" spans="1:117" s="558" customFormat="1" ht="0.75" customHeight="1">
      <c r="A76" s="1269"/>
      <c r="B76" s="1269"/>
      <c r="C76" s="1269"/>
      <c r="D76" s="1269"/>
      <c r="E76" s="5382">
        <v>1</v>
      </c>
      <c r="F76" s="5382"/>
      <c r="G76" s="5381"/>
      <c r="H76" s="1269"/>
      <c r="I76" s="1269"/>
      <c r="J76" s="1269"/>
      <c r="K76" s="1269"/>
      <c r="L76" s="1471"/>
      <c r="M76" s="1241"/>
      <c r="N76" s="1241"/>
      <c r="O76" s="1568"/>
      <c r="P76" s="1242"/>
      <c r="Q76" s="1270"/>
      <c r="R76" s="1242"/>
      <c r="S76" s="1244"/>
      <c r="T76" s="1245" t="s">
        <v>163</v>
      </c>
      <c r="U76" s="1246"/>
      <c r="V76" s="1246"/>
      <c r="W76" s="1246"/>
      <c r="X76" s="1246"/>
      <c r="Y76" s="1246"/>
      <c r="Z76" s="1246"/>
      <c r="AA76" s="1246"/>
      <c r="AB76" s="1246"/>
      <c r="AC76" s="1246"/>
      <c r="AD76" s="1246"/>
      <c r="AE76" s="1246"/>
      <c r="AF76" s="1246"/>
      <c r="AG76" s="1246"/>
      <c r="AH76" s="1246"/>
      <c r="AI76" s="1246"/>
      <c r="AJ76" s="1246"/>
      <c r="AK76" s="1246"/>
      <c r="AL76" s="1246"/>
      <c r="AM76" s="1246"/>
      <c r="AN76" s="1246"/>
      <c r="AO76" s="1246"/>
      <c r="AP76" s="1246"/>
      <c r="AQ76" s="1246"/>
      <c r="AR76" s="1246"/>
      <c r="AS76" s="1246"/>
      <c r="AT76" s="1246"/>
      <c r="AU76" s="1246"/>
      <c r="AV76" s="1246"/>
      <c r="AW76" s="1246"/>
      <c r="AX76" s="1246"/>
      <c r="AY76" s="1246"/>
      <c r="AZ76" s="1246"/>
      <c r="BA76" s="1246"/>
      <c r="BB76" s="1246"/>
      <c r="BC76" s="1246"/>
      <c r="BD76" s="1246"/>
      <c r="BE76" s="1246"/>
      <c r="BF76" s="1246"/>
      <c r="BG76" s="1246"/>
      <c r="BH76" s="1246"/>
      <c r="BI76" s="1246"/>
      <c r="BJ76" s="1246"/>
      <c r="BK76" s="1246"/>
      <c r="BL76" s="1246"/>
      <c r="BM76" s="1246"/>
      <c r="BN76" s="1246"/>
      <c r="BO76" s="1246"/>
      <c r="BP76" s="1246"/>
      <c r="BQ76" s="1246"/>
      <c r="BR76" s="1246"/>
      <c r="BS76" s="1246"/>
      <c r="BT76" s="1246"/>
      <c r="BU76" s="1246"/>
      <c r="BV76" s="1246"/>
      <c r="BW76" s="1246"/>
      <c r="BX76" s="1246"/>
      <c r="BY76" s="1246"/>
      <c r="BZ76" s="1246"/>
      <c r="CA76" s="1246"/>
      <c r="CB76" s="1246"/>
      <c r="CC76" s="1246"/>
      <c r="CD76" s="1246"/>
      <c r="CE76" s="1246"/>
      <c r="CF76" s="1246"/>
      <c r="CG76" s="1246"/>
      <c r="CH76" s="1246"/>
      <c r="CI76" s="1246"/>
      <c r="CJ76" s="1246"/>
      <c r="CK76" s="1246"/>
      <c r="CL76" s="1246"/>
      <c r="CM76" s="1246"/>
      <c r="CN76" s="1246"/>
      <c r="CO76" s="1246"/>
      <c r="CP76" s="1246"/>
      <c r="CQ76" s="1246"/>
      <c r="CR76" s="1246"/>
      <c r="CS76" s="1246"/>
      <c r="CT76" s="1246"/>
      <c r="CU76" s="1246"/>
      <c r="CV76" s="1246"/>
      <c r="CW76" s="1246"/>
      <c r="CX76" s="1246"/>
      <c r="CY76" s="1246"/>
      <c r="CZ76" s="1246"/>
      <c r="DA76" s="1246"/>
      <c r="DB76" s="1246"/>
      <c r="DC76" s="1246"/>
      <c r="DD76" s="1246"/>
      <c r="DE76" s="1246"/>
      <c r="DF76" s="1246"/>
      <c r="DG76" s="1246"/>
      <c r="DH76" s="1568"/>
      <c r="DI76" s="1550"/>
      <c r="DJ76" s="1550" t="str">
        <f t="shared" si="2"/>
        <v>Добавить источник для дифференциации</v>
      </c>
      <c r="DK76" s="1550"/>
      <c r="DL76" s="1550"/>
      <c r="DM76" s="1568">
        <v>0</v>
      </c>
    </row>
    <row r="77" spans="1:117" s="558" customFormat="1" ht="0.75" customHeight="1">
      <c r="A77" s="1269"/>
      <c r="B77" s="1269"/>
      <c r="C77" s="1269"/>
      <c r="D77" s="1269"/>
      <c r="E77" s="5382">
        <v>1</v>
      </c>
      <c r="F77" s="5381"/>
      <c r="G77" s="1269"/>
      <c r="H77" s="1269"/>
      <c r="I77" s="1269"/>
      <c r="J77" s="1269"/>
      <c r="K77" s="1269"/>
      <c r="L77" s="1471"/>
      <c r="M77" s="1247"/>
      <c r="N77" s="1247"/>
      <c r="O77" s="1568"/>
      <c r="P77" s="1242"/>
      <c r="Q77" s="1270"/>
      <c r="R77" s="1242"/>
      <c r="S77" s="1248"/>
      <c r="T77" s="1249" t="s">
        <v>164</v>
      </c>
      <c r="U77" s="1250"/>
      <c r="V77" s="1250"/>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V77" s="1250"/>
      <c r="AW77" s="1250"/>
      <c r="AX77" s="1250"/>
      <c r="AY77" s="1250"/>
      <c r="AZ77" s="1250"/>
      <c r="BA77" s="1250"/>
      <c r="BB77" s="1250"/>
      <c r="BC77" s="1250"/>
      <c r="BD77" s="1250"/>
      <c r="BE77" s="1250"/>
      <c r="BF77" s="1250"/>
      <c r="BG77" s="1250"/>
      <c r="BH77" s="1250"/>
      <c r="BI77" s="1250"/>
      <c r="BJ77" s="1250"/>
      <c r="BK77" s="1250"/>
      <c r="BL77" s="1250"/>
      <c r="BM77" s="1250"/>
      <c r="BN77" s="1250"/>
      <c r="BO77" s="1250"/>
      <c r="BP77" s="1250"/>
      <c r="BQ77" s="1250"/>
      <c r="BR77" s="1250"/>
      <c r="BS77" s="1250"/>
      <c r="BT77" s="1250"/>
      <c r="BU77" s="1250"/>
      <c r="BV77" s="1250"/>
      <c r="BW77" s="1250"/>
      <c r="BX77" s="1250"/>
      <c r="BY77" s="1250"/>
      <c r="BZ77" s="1250"/>
      <c r="CA77" s="1250"/>
      <c r="CB77" s="1250"/>
      <c r="CC77" s="1250"/>
      <c r="CD77" s="1250"/>
      <c r="CE77" s="1250"/>
      <c r="CF77" s="1250"/>
      <c r="CG77" s="1250"/>
      <c r="CH77" s="1250"/>
      <c r="CI77" s="1250"/>
      <c r="CJ77" s="1250"/>
      <c r="CK77" s="1250"/>
      <c r="CL77" s="1250"/>
      <c r="CM77" s="1250"/>
      <c r="CN77" s="1250"/>
      <c r="CO77" s="1250"/>
      <c r="CP77" s="1250"/>
      <c r="CQ77" s="1250"/>
      <c r="CR77" s="1250"/>
      <c r="CS77" s="1250"/>
      <c r="CT77" s="1250"/>
      <c r="CU77" s="1250"/>
      <c r="CV77" s="1250"/>
      <c r="CW77" s="1250"/>
      <c r="CX77" s="1250"/>
      <c r="CY77" s="1250"/>
      <c r="CZ77" s="1250"/>
      <c r="DA77" s="1250"/>
      <c r="DB77" s="1250"/>
      <c r="DC77" s="1250"/>
      <c r="DD77" s="1250"/>
      <c r="DE77" s="1250"/>
      <c r="DF77" s="1250"/>
      <c r="DG77" s="1250"/>
      <c r="DH77" s="1568"/>
      <c r="DI77" s="1550"/>
      <c r="DJ77" s="1550" t="str">
        <f t="shared" si="2"/>
        <v>Добавить централизованную систему для дифференциации</v>
      </c>
      <c r="DK77" s="1550"/>
      <c r="DL77" s="1550"/>
      <c r="DM77" s="1568">
        <v>0</v>
      </c>
    </row>
    <row r="78" spans="1:117" s="558" customFormat="1" ht="0.75" customHeight="1">
      <c r="A78" s="1269"/>
      <c r="B78" s="1269"/>
      <c r="C78" s="1269"/>
      <c r="D78" s="1269"/>
      <c r="E78" s="5381">
        <v>1</v>
      </c>
      <c r="F78" s="1269"/>
      <c r="G78" s="1269"/>
      <c r="H78" s="1269"/>
      <c r="I78" s="1269"/>
      <c r="J78" s="1269"/>
      <c r="K78" s="1269"/>
      <c r="L78" s="1471"/>
      <c r="M78" s="1247"/>
      <c r="N78" s="1247"/>
      <c r="O78" s="1568"/>
      <c r="P78" s="1242"/>
      <c r="Q78" s="1270"/>
      <c r="R78" s="1242"/>
      <c r="S78" s="1248"/>
      <c r="T78" s="1251" t="s">
        <v>165</v>
      </c>
      <c r="U78" s="1250"/>
      <c r="V78" s="1250"/>
      <c r="W78" s="1250"/>
      <c r="X78" s="1250"/>
      <c r="Y78" s="1250"/>
      <c r="Z78" s="1250"/>
      <c r="AA78" s="1250"/>
      <c r="AB78" s="1250"/>
      <c r="AC78" s="1250"/>
      <c r="AD78" s="1250"/>
      <c r="AE78" s="1250"/>
      <c r="AF78" s="1250"/>
      <c r="AG78" s="1250"/>
      <c r="AH78" s="1250"/>
      <c r="AI78" s="1250"/>
      <c r="AJ78" s="1250"/>
      <c r="AK78" s="1250"/>
      <c r="AL78" s="1250"/>
      <c r="AM78" s="1250"/>
      <c r="AN78" s="1250"/>
      <c r="AO78" s="1250"/>
      <c r="AP78" s="1250"/>
      <c r="AQ78" s="1250"/>
      <c r="AR78" s="1250"/>
      <c r="AS78" s="1250"/>
      <c r="AT78" s="1250"/>
      <c r="AU78" s="1250"/>
      <c r="AV78" s="1250"/>
      <c r="AW78" s="1250"/>
      <c r="AX78" s="1250"/>
      <c r="AY78" s="1250"/>
      <c r="AZ78" s="1250"/>
      <c r="BA78" s="1250"/>
      <c r="BB78" s="1250"/>
      <c r="BC78" s="1250"/>
      <c r="BD78" s="1250"/>
      <c r="BE78" s="1250"/>
      <c r="BF78" s="1250"/>
      <c r="BG78" s="1250"/>
      <c r="BH78" s="1250"/>
      <c r="BI78" s="1250"/>
      <c r="BJ78" s="1250"/>
      <c r="BK78" s="1250"/>
      <c r="BL78" s="1250"/>
      <c r="BM78" s="1250"/>
      <c r="BN78" s="1250"/>
      <c r="BO78" s="1250"/>
      <c r="BP78" s="1250"/>
      <c r="BQ78" s="1250"/>
      <c r="BR78" s="1250"/>
      <c r="BS78" s="1250"/>
      <c r="BT78" s="1250"/>
      <c r="BU78" s="1250"/>
      <c r="BV78" s="1250"/>
      <c r="BW78" s="1250"/>
      <c r="BX78" s="1250"/>
      <c r="BY78" s="1250"/>
      <c r="BZ78" s="1250"/>
      <c r="CA78" s="1250"/>
      <c r="CB78" s="1250"/>
      <c r="CC78" s="1250"/>
      <c r="CD78" s="1250"/>
      <c r="CE78" s="1250"/>
      <c r="CF78" s="1250"/>
      <c r="CG78" s="1250"/>
      <c r="CH78" s="1250"/>
      <c r="CI78" s="1250"/>
      <c r="CJ78" s="1250"/>
      <c r="CK78" s="1250"/>
      <c r="CL78" s="1250"/>
      <c r="CM78" s="1250"/>
      <c r="CN78" s="1250"/>
      <c r="CO78" s="1250"/>
      <c r="CP78" s="1250"/>
      <c r="CQ78" s="1250"/>
      <c r="CR78" s="1250"/>
      <c r="CS78" s="1250"/>
      <c r="CT78" s="1250"/>
      <c r="CU78" s="1250"/>
      <c r="CV78" s="1250"/>
      <c r="CW78" s="1250"/>
      <c r="CX78" s="1250"/>
      <c r="CY78" s="1250"/>
      <c r="CZ78" s="1250"/>
      <c r="DA78" s="1250"/>
      <c r="DB78" s="1250"/>
      <c r="DC78" s="1250"/>
      <c r="DD78" s="1250"/>
      <c r="DE78" s="1250"/>
      <c r="DF78" s="1250"/>
      <c r="DG78" s="1250"/>
      <c r="DH78" s="1568"/>
      <c r="DI78" s="1550"/>
      <c r="DJ78" s="1550" t="str">
        <f t="shared" si="2"/>
        <v>Добавить территорию для дифференциации</v>
      </c>
      <c r="DK78" s="1550"/>
      <c r="DL78" s="1550"/>
      <c r="DM78" s="1568">
        <v>0</v>
      </c>
    </row>
    <row r="79" spans="1:117" s="1774" customFormat="1" ht="21" customHeight="1">
      <c r="A79" s="1289" t="s">
        <v>173</v>
      </c>
      <c r="B79" s="1289"/>
      <c r="C79" s="1289"/>
      <c r="D79" s="1289"/>
      <c r="E79" s="5381" t="s">
        <v>92</v>
      </c>
      <c r="F79" s="1289"/>
      <c r="G79" s="1289"/>
      <c r="H79" s="1289"/>
      <c r="I79" s="1289"/>
      <c r="J79" s="1289"/>
      <c r="K79" s="1289"/>
      <c r="L79" s="1295"/>
      <c r="M79" s="1291"/>
      <c r="N79" s="1291"/>
      <c r="O79" s="1291"/>
      <c r="P79" s="2015"/>
      <c r="Q79" s="1747"/>
      <c r="R79" s="291"/>
      <c r="S79" s="2012" t="str">
        <f>INDEX(PT_DIFFERENTIATION_NUM_NTAR,MATCH(A79,PT_DIFFERENTIATION_NTAR_ID,0))</f>
        <v>3</v>
      </c>
      <c r="T79" s="1451" t="s">
        <v>125</v>
      </c>
      <c r="U79" s="237"/>
      <c r="V79" s="5373"/>
      <c r="W79" s="5374"/>
      <c r="X79" s="5374"/>
      <c r="Y79" s="5374"/>
      <c r="Z79" s="5374"/>
      <c r="AA79" s="5374"/>
      <c r="AB79" s="5374"/>
      <c r="AC79" s="5375"/>
      <c r="AD79" s="5373" t="str">
        <f>INDEX(PT_DIFFERENTIATION_NTAR,MATCH(A79,PT_DIFFERENTIATION_NTAR_ID,0))</f>
        <v>Тариф на тепловую энергию (мощность), поставляемую ПАО "ТГК-1" теплоснабжающим, теплосетевым организациям, приобретающим тепловую энергию с целью компенсации потерь тепловой энергии</v>
      </c>
      <c r="AE79" s="5374"/>
      <c r="AF79" s="5374"/>
      <c r="AG79" s="5374"/>
      <c r="AH79" s="5374"/>
      <c r="AI79" s="5374"/>
      <c r="AJ79" s="5374"/>
      <c r="AK79" s="5374"/>
      <c r="AL79" s="5373"/>
      <c r="AM79" s="5374"/>
      <c r="AN79" s="5374"/>
      <c r="AO79" s="5374"/>
      <c r="AP79" s="5374"/>
      <c r="AQ79" s="5374"/>
      <c r="AR79" s="5374"/>
      <c r="AS79" s="5375"/>
      <c r="AT79" s="5373"/>
      <c r="AU79" s="5374"/>
      <c r="AV79" s="5374"/>
      <c r="AW79" s="5374"/>
      <c r="AX79" s="5374"/>
      <c r="AY79" s="5374"/>
      <c r="AZ79" s="5374"/>
      <c r="BA79" s="5375"/>
      <c r="BB79" s="5373"/>
      <c r="BC79" s="5374"/>
      <c r="BD79" s="5374"/>
      <c r="BE79" s="5374"/>
      <c r="BF79" s="5374"/>
      <c r="BG79" s="5374"/>
      <c r="BH79" s="5374"/>
      <c r="BI79" s="5375"/>
      <c r="BJ79" s="5373"/>
      <c r="BK79" s="5374"/>
      <c r="BL79" s="5374"/>
      <c r="BM79" s="5374"/>
      <c r="BN79" s="5374"/>
      <c r="BO79" s="5374"/>
      <c r="BP79" s="5374"/>
      <c r="BQ79" s="5375"/>
      <c r="BR79" s="5373"/>
      <c r="BS79" s="5374"/>
      <c r="BT79" s="5374"/>
      <c r="BU79" s="5374"/>
      <c r="BV79" s="5374"/>
      <c r="BW79" s="5374"/>
      <c r="BX79" s="5374"/>
      <c r="BY79" s="5375"/>
      <c r="BZ79" s="5373"/>
      <c r="CA79" s="5374"/>
      <c r="CB79" s="5374"/>
      <c r="CC79" s="5374"/>
      <c r="CD79" s="5374"/>
      <c r="CE79" s="5374"/>
      <c r="CF79" s="5374"/>
      <c r="CG79" s="5375"/>
      <c r="CH79" s="5373"/>
      <c r="CI79" s="5374"/>
      <c r="CJ79" s="5374"/>
      <c r="CK79" s="5374"/>
      <c r="CL79" s="5374"/>
      <c r="CM79" s="5374"/>
      <c r="CN79" s="5374"/>
      <c r="CO79" s="5375"/>
      <c r="CP79" s="5373"/>
      <c r="CQ79" s="5374"/>
      <c r="CR79" s="5374"/>
      <c r="CS79" s="5374"/>
      <c r="CT79" s="5374"/>
      <c r="CU79" s="5374"/>
      <c r="CV79" s="5374"/>
      <c r="CW79" s="5375"/>
      <c r="CX79" s="5373"/>
      <c r="CY79" s="5374"/>
      <c r="CZ79" s="5374"/>
      <c r="DA79" s="5374"/>
      <c r="DB79" s="5374"/>
      <c r="DC79" s="5374"/>
      <c r="DD79" s="5374"/>
      <c r="DE79" s="5376"/>
      <c r="DF79" s="5375"/>
      <c r="DG79" s="1184" t="s">
        <v>423</v>
      </c>
      <c r="DH79" s="1568"/>
      <c r="DI79" s="1550"/>
      <c r="DJ79" s="1550" t="str">
        <f t="shared" si="2"/>
        <v>Наименование тарифа</v>
      </c>
      <c r="DK79" s="1550"/>
      <c r="DL79" s="1550"/>
      <c r="DM79" s="1561">
        <v>0</v>
      </c>
    </row>
    <row r="80" spans="1:117" s="1774" customFormat="1" ht="21" customHeight="1">
      <c r="A80" s="1289"/>
      <c r="B80" s="1289" t="s">
        <v>174</v>
      </c>
      <c r="C80" s="1289"/>
      <c r="D80" s="1289"/>
      <c r="E80" s="5382" t="s">
        <v>112</v>
      </c>
      <c r="F80" s="5381">
        <v>1</v>
      </c>
      <c r="G80" s="1289"/>
      <c r="H80" s="1289"/>
      <c r="I80" s="1289"/>
      <c r="J80" s="1289"/>
      <c r="K80" s="1289"/>
      <c r="L80" s="1295"/>
      <c r="M80" s="1291"/>
      <c r="N80" s="1291"/>
      <c r="O80" s="1291"/>
      <c r="P80" s="1999"/>
      <c r="Q80" s="288"/>
      <c r="R80" s="289"/>
      <c r="S80" s="2012" t="str">
        <f>INDEX(PT_DIFFERENTIATION_NUM_TER,MATCH(B80,PT_DIFFERENTIATION_TER_ID,0))</f>
        <v>3.1</v>
      </c>
      <c r="T80" s="1448" t="s">
        <v>424</v>
      </c>
      <c r="U80" s="237"/>
      <c r="V80" s="5373"/>
      <c r="W80" s="5374"/>
      <c r="X80" s="5374"/>
      <c r="Y80" s="5374"/>
      <c r="Z80" s="5374"/>
      <c r="AA80" s="5374"/>
      <c r="AB80" s="5374"/>
      <c r="AC80" s="5375"/>
      <c r="AD80" s="5373" t="str">
        <f>INDEX(PT_DIFFERENTIATION_TER,MATCH(B80,PT_DIFFERENTIATION_TER_ID,0))</f>
        <v>без дифференциации</v>
      </c>
      <c r="AE80" s="5374"/>
      <c r="AF80" s="5374"/>
      <c r="AG80" s="5374"/>
      <c r="AH80" s="5374"/>
      <c r="AI80" s="5374"/>
      <c r="AJ80" s="5374"/>
      <c r="AK80" s="5374"/>
      <c r="AL80" s="5373"/>
      <c r="AM80" s="5374"/>
      <c r="AN80" s="5374"/>
      <c r="AO80" s="5374"/>
      <c r="AP80" s="5374"/>
      <c r="AQ80" s="5374"/>
      <c r="AR80" s="5374"/>
      <c r="AS80" s="5375"/>
      <c r="AT80" s="5373"/>
      <c r="AU80" s="5374"/>
      <c r="AV80" s="5374"/>
      <c r="AW80" s="5374"/>
      <c r="AX80" s="5374"/>
      <c r="AY80" s="5374"/>
      <c r="AZ80" s="5374"/>
      <c r="BA80" s="5375"/>
      <c r="BB80" s="5373"/>
      <c r="BC80" s="5374"/>
      <c r="BD80" s="5374"/>
      <c r="BE80" s="5374"/>
      <c r="BF80" s="5374"/>
      <c r="BG80" s="5374"/>
      <c r="BH80" s="5374"/>
      <c r="BI80" s="5375"/>
      <c r="BJ80" s="5373"/>
      <c r="BK80" s="5374"/>
      <c r="BL80" s="5374"/>
      <c r="BM80" s="5374"/>
      <c r="BN80" s="5374"/>
      <c r="BO80" s="5374"/>
      <c r="BP80" s="5374"/>
      <c r="BQ80" s="5375"/>
      <c r="BR80" s="5373"/>
      <c r="BS80" s="5374"/>
      <c r="BT80" s="5374"/>
      <c r="BU80" s="5374"/>
      <c r="BV80" s="5374"/>
      <c r="BW80" s="5374"/>
      <c r="BX80" s="5374"/>
      <c r="BY80" s="5375"/>
      <c r="BZ80" s="5373"/>
      <c r="CA80" s="5374"/>
      <c r="CB80" s="5374"/>
      <c r="CC80" s="5374"/>
      <c r="CD80" s="5374"/>
      <c r="CE80" s="5374"/>
      <c r="CF80" s="5374"/>
      <c r="CG80" s="5375"/>
      <c r="CH80" s="5373"/>
      <c r="CI80" s="5374"/>
      <c r="CJ80" s="5374"/>
      <c r="CK80" s="5374"/>
      <c r="CL80" s="5374"/>
      <c r="CM80" s="5374"/>
      <c r="CN80" s="5374"/>
      <c r="CO80" s="5375"/>
      <c r="CP80" s="5373"/>
      <c r="CQ80" s="5374"/>
      <c r="CR80" s="5374"/>
      <c r="CS80" s="5374"/>
      <c r="CT80" s="5374"/>
      <c r="CU80" s="5374"/>
      <c r="CV80" s="5374"/>
      <c r="CW80" s="5375"/>
      <c r="CX80" s="5373"/>
      <c r="CY80" s="5374"/>
      <c r="CZ80" s="5374"/>
      <c r="DA80" s="5374"/>
      <c r="DB80" s="5374"/>
      <c r="DC80" s="5374"/>
      <c r="DD80" s="5374"/>
      <c r="DE80" s="5376"/>
      <c r="DF80" s="5375"/>
      <c r="DG80" s="1184" t="s">
        <v>425</v>
      </c>
      <c r="DH80" s="1568"/>
      <c r="DI80" s="1550"/>
      <c r="DJ80" s="1550" t="str">
        <f t="shared" si="2"/>
        <v>Территория действия тарифа</v>
      </c>
      <c r="DK80" s="1550"/>
      <c r="DL80" s="1550"/>
      <c r="DM80" s="1561">
        <v>0</v>
      </c>
    </row>
    <row r="81" spans="1:117" s="1774" customFormat="1" ht="23.25" customHeight="1">
      <c r="A81" s="1289"/>
      <c r="B81" s="1289"/>
      <c r="C81" s="1289" t="s">
        <v>175</v>
      </c>
      <c r="D81" s="1289"/>
      <c r="E81" s="5382" t="s">
        <v>112</v>
      </c>
      <c r="F81" s="5382"/>
      <c r="G81" s="5381">
        <v>1</v>
      </c>
      <c r="H81" s="1289"/>
      <c r="I81" s="1289"/>
      <c r="J81" s="1289"/>
      <c r="K81" s="1289"/>
      <c r="L81" s="1295"/>
      <c r="M81" s="1291"/>
      <c r="N81" s="1291"/>
      <c r="O81" s="1291"/>
      <c r="P81" s="290"/>
      <c r="Q81" s="288"/>
      <c r="R81" s="289"/>
      <c r="S81" s="2012" t="str">
        <f>INDEX(PT_DIFFERENTIATION_NUM_CS,MATCH(C81,PT_DIFFERENTIATION_CS_ID,0))</f>
        <v>3.1.1</v>
      </c>
      <c r="T81" s="246" t="s">
        <v>426</v>
      </c>
      <c r="U81" s="237"/>
      <c r="V81" s="5373"/>
      <c r="W81" s="5374"/>
      <c r="X81" s="5374"/>
      <c r="Y81" s="5374"/>
      <c r="Z81" s="5374"/>
      <c r="AA81" s="5374"/>
      <c r="AB81" s="5374"/>
      <c r="AC81" s="5375"/>
      <c r="AD81" s="5373" t="str">
        <f>INDEX(PT_DIFFERENTIATION_CS,MATCH(C81,PT_DIFFERENTIATION_CS_ID,0))</f>
        <v>без дифференциации</v>
      </c>
      <c r="AE81" s="5374"/>
      <c r="AF81" s="5374"/>
      <c r="AG81" s="5374"/>
      <c r="AH81" s="5374"/>
      <c r="AI81" s="5374"/>
      <c r="AJ81" s="5374"/>
      <c r="AK81" s="5374"/>
      <c r="AL81" s="5373"/>
      <c r="AM81" s="5374"/>
      <c r="AN81" s="5374"/>
      <c r="AO81" s="5374"/>
      <c r="AP81" s="5374"/>
      <c r="AQ81" s="5374"/>
      <c r="AR81" s="5374"/>
      <c r="AS81" s="5375"/>
      <c r="AT81" s="5373"/>
      <c r="AU81" s="5374"/>
      <c r="AV81" s="5374"/>
      <c r="AW81" s="5374"/>
      <c r="AX81" s="5374"/>
      <c r="AY81" s="5374"/>
      <c r="AZ81" s="5374"/>
      <c r="BA81" s="5375"/>
      <c r="BB81" s="5373"/>
      <c r="BC81" s="5374"/>
      <c r="BD81" s="5374"/>
      <c r="BE81" s="5374"/>
      <c r="BF81" s="5374"/>
      <c r="BG81" s="5374"/>
      <c r="BH81" s="5374"/>
      <c r="BI81" s="5375"/>
      <c r="BJ81" s="5373"/>
      <c r="BK81" s="5374"/>
      <c r="BL81" s="5374"/>
      <c r="BM81" s="5374"/>
      <c r="BN81" s="5374"/>
      <c r="BO81" s="5374"/>
      <c r="BP81" s="5374"/>
      <c r="BQ81" s="5375"/>
      <c r="BR81" s="5373"/>
      <c r="BS81" s="5374"/>
      <c r="BT81" s="5374"/>
      <c r="BU81" s="5374"/>
      <c r="BV81" s="5374"/>
      <c r="BW81" s="5374"/>
      <c r="BX81" s="5374"/>
      <c r="BY81" s="5375"/>
      <c r="BZ81" s="5373"/>
      <c r="CA81" s="5374"/>
      <c r="CB81" s="5374"/>
      <c r="CC81" s="5374"/>
      <c r="CD81" s="5374"/>
      <c r="CE81" s="5374"/>
      <c r="CF81" s="5374"/>
      <c r="CG81" s="5375"/>
      <c r="CH81" s="5373"/>
      <c r="CI81" s="5374"/>
      <c r="CJ81" s="5374"/>
      <c r="CK81" s="5374"/>
      <c r="CL81" s="5374"/>
      <c r="CM81" s="5374"/>
      <c r="CN81" s="5374"/>
      <c r="CO81" s="5375"/>
      <c r="CP81" s="5373"/>
      <c r="CQ81" s="5374"/>
      <c r="CR81" s="5374"/>
      <c r="CS81" s="5374"/>
      <c r="CT81" s="5374"/>
      <c r="CU81" s="5374"/>
      <c r="CV81" s="5374"/>
      <c r="CW81" s="5375"/>
      <c r="CX81" s="5373"/>
      <c r="CY81" s="5374"/>
      <c r="CZ81" s="5374"/>
      <c r="DA81" s="5374"/>
      <c r="DB81" s="5374"/>
      <c r="DC81" s="5374"/>
      <c r="DD81" s="5374"/>
      <c r="DE81" s="5376"/>
      <c r="DF81" s="5375"/>
      <c r="DG81" s="1184" t="s">
        <v>427</v>
      </c>
      <c r="DH81" s="1568"/>
      <c r="DI81" s="1550"/>
      <c r="DJ81" s="1550" t="str">
        <f t="shared" si="2"/>
        <v xml:space="preserve">Наименование системы теплоснабжения </v>
      </c>
      <c r="DK81" s="1550"/>
      <c r="DL81" s="1550"/>
      <c r="DM81" s="1561">
        <v>0</v>
      </c>
    </row>
    <row r="82" spans="1:117" s="1774" customFormat="1" ht="21" customHeight="1">
      <c r="A82" s="1289"/>
      <c r="B82" s="1289"/>
      <c r="C82" s="1289"/>
      <c r="D82" s="1289" t="s">
        <v>176</v>
      </c>
      <c r="E82" s="5382" t="s">
        <v>112</v>
      </c>
      <c r="F82" s="5382"/>
      <c r="G82" s="5382"/>
      <c r="H82" s="5381">
        <v>1</v>
      </c>
      <c r="I82" s="1289"/>
      <c r="J82" s="1289"/>
      <c r="K82" s="1289"/>
      <c r="L82" s="1295"/>
      <c r="M82" s="1291"/>
      <c r="N82" s="1291"/>
      <c r="O82" s="1291"/>
      <c r="P82" s="290"/>
      <c r="Q82" s="288"/>
      <c r="R82" s="289"/>
      <c r="S82" s="2012" t="str">
        <f>INDEX(PT_DIFFERENTIATION_NUM_IST_TE,MATCH(D82,PT_DIFFERENTIATION_IST_TE_ID,0))</f>
        <v>3.1.1.1</v>
      </c>
      <c r="T82" s="247" t="s">
        <v>428</v>
      </c>
      <c r="U82" s="237"/>
      <c r="V82" s="5373"/>
      <c r="W82" s="5374"/>
      <c r="X82" s="5374"/>
      <c r="Y82" s="5374"/>
      <c r="Z82" s="5374"/>
      <c r="AA82" s="5374"/>
      <c r="AB82" s="5374"/>
      <c r="AC82" s="5375"/>
      <c r="AD82" s="5373" t="str">
        <f>INDEX(PT_DIFFERENTIATION_IST_TE,MATCH(D82,PT_DIFFERENTIATION_IST_TE_ID,0))</f>
        <v>без дифференциации</v>
      </c>
      <c r="AE82" s="5374"/>
      <c r="AF82" s="5374"/>
      <c r="AG82" s="5374"/>
      <c r="AH82" s="5374"/>
      <c r="AI82" s="5374"/>
      <c r="AJ82" s="5374"/>
      <c r="AK82" s="5374"/>
      <c r="AL82" s="5373"/>
      <c r="AM82" s="5374"/>
      <c r="AN82" s="5374"/>
      <c r="AO82" s="5374"/>
      <c r="AP82" s="5374"/>
      <c r="AQ82" s="5374"/>
      <c r="AR82" s="5374"/>
      <c r="AS82" s="5375"/>
      <c r="AT82" s="5373"/>
      <c r="AU82" s="5374"/>
      <c r="AV82" s="5374"/>
      <c r="AW82" s="5374"/>
      <c r="AX82" s="5374"/>
      <c r="AY82" s="5374"/>
      <c r="AZ82" s="5374"/>
      <c r="BA82" s="5375"/>
      <c r="BB82" s="5373"/>
      <c r="BC82" s="5374"/>
      <c r="BD82" s="5374"/>
      <c r="BE82" s="5374"/>
      <c r="BF82" s="5374"/>
      <c r="BG82" s="5374"/>
      <c r="BH82" s="5374"/>
      <c r="BI82" s="5375"/>
      <c r="BJ82" s="5373"/>
      <c r="BK82" s="5374"/>
      <c r="BL82" s="5374"/>
      <c r="BM82" s="5374"/>
      <c r="BN82" s="5374"/>
      <c r="BO82" s="5374"/>
      <c r="BP82" s="5374"/>
      <c r="BQ82" s="5375"/>
      <c r="BR82" s="5373"/>
      <c r="BS82" s="5374"/>
      <c r="BT82" s="5374"/>
      <c r="BU82" s="5374"/>
      <c r="BV82" s="5374"/>
      <c r="BW82" s="5374"/>
      <c r="BX82" s="5374"/>
      <c r="BY82" s="5375"/>
      <c r="BZ82" s="5373"/>
      <c r="CA82" s="5374"/>
      <c r="CB82" s="5374"/>
      <c r="CC82" s="5374"/>
      <c r="CD82" s="5374"/>
      <c r="CE82" s="5374"/>
      <c r="CF82" s="5374"/>
      <c r="CG82" s="5375"/>
      <c r="CH82" s="5373"/>
      <c r="CI82" s="5374"/>
      <c r="CJ82" s="5374"/>
      <c r="CK82" s="5374"/>
      <c r="CL82" s="5374"/>
      <c r="CM82" s="5374"/>
      <c r="CN82" s="5374"/>
      <c r="CO82" s="5375"/>
      <c r="CP82" s="5373"/>
      <c r="CQ82" s="5374"/>
      <c r="CR82" s="5374"/>
      <c r="CS82" s="5374"/>
      <c r="CT82" s="5374"/>
      <c r="CU82" s="5374"/>
      <c r="CV82" s="5374"/>
      <c r="CW82" s="5375"/>
      <c r="CX82" s="5373"/>
      <c r="CY82" s="5374"/>
      <c r="CZ82" s="5374"/>
      <c r="DA82" s="5374"/>
      <c r="DB82" s="5374"/>
      <c r="DC82" s="5374"/>
      <c r="DD82" s="5374"/>
      <c r="DE82" s="5376"/>
      <c r="DF82" s="5375"/>
      <c r="DG82" s="1184" t="s">
        <v>429</v>
      </c>
      <c r="DH82" s="1568"/>
      <c r="DI82" s="1550"/>
      <c r="DJ82" s="1550" t="str">
        <f t="shared" si="2"/>
        <v xml:space="preserve">Источник тепловой энергии  </v>
      </c>
      <c r="DK82" s="1550"/>
      <c r="DL82" s="1550"/>
      <c r="DM82" s="1561">
        <v>0</v>
      </c>
    </row>
    <row r="83" spans="1:117" s="1774" customFormat="1" ht="47.25" customHeight="1">
      <c r="A83" s="1289"/>
      <c r="B83" s="1289"/>
      <c r="C83" s="1289"/>
      <c r="D83" s="1289"/>
      <c r="E83" s="5382" t="s">
        <v>112</v>
      </c>
      <c r="F83" s="5382"/>
      <c r="G83" s="5382"/>
      <c r="H83" s="5382"/>
      <c r="I83" s="5383" t="str">
        <f>S82&amp;".1"</f>
        <v>3.1.1.1.1</v>
      </c>
      <c r="J83" s="1289"/>
      <c r="K83" s="1289"/>
      <c r="L83" s="1295" t="s">
        <v>430</v>
      </c>
      <c r="M83" s="1292"/>
      <c r="N83" s="1701"/>
      <c r="O83" s="1701"/>
      <c r="P83" s="5385">
        <v>1</v>
      </c>
      <c r="Q83" s="2014"/>
      <c r="R83" s="292"/>
      <c r="S83" s="2012" t="str">
        <f>$I83</f>
        <v>3.1.1.1.1</v>
      </c>
      <c r="T83" s="222" t="s">
        <v>431</v>
      </c>
      <c r="U83" s="237"/>
      <c r="V83" s="5366"/>
      <c r="W83" s="5367"/>
      <c r="X83" s="5367"/>
      <c r="Y83" s="5367"/>
      <c r="Z83" s="5367"/>
      <c r="AA83" s="5367"/>
      <c r="AB83" s="5367"/>
      <c r="AC83" s="5368"/>
      <c r="AD83" s="5366" t="s">
        <v>472</v>
      </c>
      <c r="AE83" s="5367"/>
      <c r="AF83" s="5367"/>
      <c r="AG83" s="5367"/>
      <c r="AH83" s="5367"/>
      <c r="AI83" s="5367"/>
      <c r="AJ83" s="5367"/>
      <c r="AK83" s="5367"/>
      <c r="AL83" s="5366"/>
      <c r="AM83" s="5367"/>
      <c r="AN83" s="5367"/>
      <c r="AO83" s="5367"/>
      <c r="AP83" s="5367"/>
      <c r="AQ83" s="5367"/>
      <c r="AR83" s="5367"/>
      <c r="AS83" s="5368"/>
      <c r="AT83" s="5366"/>
      <c r="AU83" s="5367"/>
      <c r="AV83" s="5367"/>
      <c r="AW83" s="5367"/>
      <c r="AX83" s="5367"/>
      <c r="AY83" s="5367"/>
      <c r="AZ83" s="5367"/>
      <c r="BA83" s="5368"/>
      <c r="BB83" s="5366"/>
      <c r="BC83" s="5367"/>
      <c r="BD83" s="5367"/>
      <c r="BE83" s="5367"/>
      <c r="BF83" s="5367"/>
      <c r="BG83" s="5367"/>
      <c r="BH83" s="5367"/>
      <c r="BI83" s="5368"/>
      <c r="BJ83" s="5366"/>
      <c r="BK83" s="5367"/>
      <c r="BL83" s="5367"/>
      <c r="BM83" s="5367"/>
      <c r="BN83" s="5367"/>
      <c r="BO83" s="5367"/>
      <c r="BP83" s="5367"/>
      <c r="BQ83" s="5368"/>
      <c r="BR83" s="5366"/>
      <c r="BS83" s="5367"/>
      <c r="BT83" s="5367"/>
      <c r="BU83" s="5367"/>
      <c r="BV83" s="5367"/>
      <c r="BW83" s="5367"/>
      <c r="BX83" s="5367"/>
      <c r="BY83" s="5368"/>
      <c r="BZ83" s="5366"/>
      <c r="CA83" s="5367"/>
      <c r="CB83" s="5367"/>
      <c r="CC83" s="5367"/>
      <c r="CD83" s="5367"/>
      <c r="CE83" s="5367"/>
      <c r="CF83" s="5367"/>
      <c r="CG83" s="5368"/>
      <c r="CH83" s="5366"/>
      <c r="CI83" s="5367"/>
      <c r="CJ83" s="5367"/>
      <c r="CK83" s="5367"/>
      <c r="CL83" s="5367"/>
      <c r="CM83" s="5367"/>
      <c r="CN83" s="5367"/>
      <c r="CO83" s="5368"/>
      <c r="CP83" s="5366"/>
      <c r="CQ83" s="5367"/>
      <c r="CR83" s="5367"/>
      <c r="CS83" s="5367"/>
      <c r="CT83" s="5367"/>
      <c r="CU83" s="5367"/>
      <c r="CV83" s="5367"/>
      <c r="CW83" s="5368"/>
      <c r="CX83" s="5366"/>
      <c r="CY83" s="5367"/>
      <c r="CZ83" s="5367"/>
      <c r="DA83" s="5367"/>
      <c r="DB83" s="5367"/>
      <c r="DC83" s="5367"/>
      <c r="DD83" s="5367"/>
      <c r="DE83" s="5369"/>
      <c r="DF83" s="5368"/>
      <c r="DG83" s="1184" t="s">
        <v>432</v>
      </c>
      <c r="DH83" s="1568"/>
      <c r="DI83" s="1550"/>
      <c r="DJ83" s="1550" t="str">
        <f t="shared" si="2"/>
        <v>Схема подключения теплопотребляющей установки к коллектору источника тепловой энергии</v>
      </c>
      <c r="DK83" s="1550"/>
      <c r="DL83" s="1550"/>
      <c r="DM83" s="1561">
        <v>0</v>
      </c>
    </row>
    <row r="84" spans="1:117" s="1774" customFormat="1" ht="21" customHeight="1">
      <c r="A84" s="1289"/>
      <c r="B84" s="1289"/>
      <c r="C84" s="1289"/>
      <c r="D84" s="1289"/>
      <c r="E84" s="5382" t="s">
        <v>112</v>
      </c>
      <c r="F84" s="5382"/>
      <c r="G84" s="5382"/>
      <c r="H84" s="5382"/>
      <c r="I84" s="5384"/>
      <c r="J84" s="5383" t="str">
        <f>I83&amp;".1"</f>
        <v>3.1.1.1.1.1</v>
      </c>
      <c r="K84" s="1289"/>
      <c r="L84" s="1295" t="s">
        <v>433</v>
      </c>
      <c r="M84" s="1292"/>
      <c r="N84" s="1292"/>
      <c r="O84" s="1701"/>
      <c r="P84" s="5385"/>
      <c r="Q84" s="5385">
        <v>1</v>
      </c>
      <c r="R84" s="293"/>
      <c r="S84" s="2012" t="str">
        <f>$J84</f>
        <v>3.1.1.1.1.1</v>
      </c>
      <c r="T84" s="223" t="s">
        <v>434</v>
      </c>
      <c r="U84" s="237"/>
      <c r="V84" s="5366"/>
      <c r="W84" s="5367"/>
      <c r="X84" s="5367"/>
      <c r="Y84" s="5367"/>
      <c r="Z84" s="5367"/>
      <c r="AA84" s="5367"/>
      <c r="AB84" s="5367"/>
      <c r="AC84" s="5368"/>
      <c r="AD84" s="5366" t="s">
        <v>472</v>
      </c>
      <c r="AE84" s="5367"/>
      <c r="AF84" s="5367"/>
      <c r="AG84" s="5367"/>
      <c r="AH84" s="5367"/>
      <c r="AI84" s="5367"/>
      <c r="AJ84" s="5367"/>
      <c r="AK84" s="5367"/>
      <c r="AL84" s="5366"/>
      <c r="AM84" s="5367"/>
      <c r="AN84" s="5367"/>
      <c r="AO84" s="5367"/>
      <c r="AP84" s="5367"/>
      <c r="AQ84" s="5367"/>
      <c r="AR84" s="5367"/>
      <c r="AS84" s="5368"/>
      <c r="AT84" s="5366"/>
      <c r="AU84" s="5367"/>
      <c r="AV84" s="5367"/>
      <c r="AW84" s="5367"/>
      <c r="AX84" s="5367"/>
      <c r="AY84" s="5367"/>
      <c r="AZ84" s="5367"/>
      <c r="BA84" s="5368"/>
      <c r="BB84" s="5366"/>
      <c r="BC84" s="5367"/>
      <c r="BD84" s="5367"/>
      <c r="BE84" s="5367"/>
      <c r="BF84" s="5367"/>
      <c r="BG84" s="5367"/>
      <c r="BH84" s="5367"/>
      <c r="BI84" s="5368"/>
      <c r="BJ84" s="5366"/>
      <c r="BK84" s="5367"/>
      <c r="BL84" s="5367"/>
      <c r="BM84" s="5367"/>
      <c r="BN84" s="5367"/>
      <c r="BO84" s="5367"/>
      <c r="BP84" s="5367"/>
      <c r="BQ84" s="5368"/>
      <c r="BR84" s="5366"/>
      <c r="BS84" s="5367"/>
      <c r="BT84" s="5367"/>
      <c r="BU84" s="5367"/>
      <c r="BV84" s="5367"/>
      <c r="BW84" s="5367"/>
      <c r="BX84" s="5367"/>
      <c r="BY84" s="5368"/>
      <c r="BZ84" s="5366"/>
      <c r="CA84" s="5367"/>
      <c r="CB84" s="5367"/>
      <c r="CC84" s="5367"/>
      <c r="CD84" s="5367"/>
      <c r="CE84" s="5367"/>
      <c r="CF84" s="5367"/>
      <c r="CG84" s="5368"/>
      <c r="CH84" s="5366"/>
      <c r="CI84" s="5367"/>
      <c r="CJ84" s="5367"/>
      <c r="CK84" s="5367"/>
      <c r="CL84" s="5367"/>
      <c r="CM84" s="5367"/>
      <c r="CN84" s="5367"/>
      <c r="CO84" s="5368"/>
      <c r="CP84" s="5366"/>
      <c r="CQ84" s="5367"/>
      <c r="CR84" s="5367"/>
      <c r="CS84" s="5367"/>
      <c r="CT84" s="5367"/>
      <c r="CU84" s="5367"/>
      <c r="CV84" s="5367"/>
      <c r="CW84" s="5368"/>
      <c r="CX84" s="5366"/>
      <c r="CY84" s="5367"/>
      <c r="CZ84" s="5367"/>
      <c r="DA84" s="5367"/>
      <c r="DB84" s="5367"/>
      <c r="DC84" s="5367"/>
      <c r="DD84" s="5367"/>
      <c r="DE84" s="5369"/>
      <c r="DF84" s="5368"/>
      <c r="DG84" s="1184" t="s">
        <v>435</v>
      </c>
      <c r="DH84" s="1568"/>
      <c r="DI84" s="1550"/>
      <c r="DJ84" s="1550" t="str">
        <f t="shared" si="2"/>
        <v>Группа потребителей</v>
      </c>
      <c r="DK84" s="1550"/>
      <c r="DL84" s="1550"/>
      <c r="DM84" s="1561">
        <v>0</v>
      </c>
    </row>
    <row r="85" spans="1:117" s="1774" customFormat="1" ht="21" customHeight="1">
      <c r="A85" s="1289"/>
      <c r="B85" s="1289"/>
      <c r="C85" s="1289"/>
      <c r="D85" s="1289"/>
      <c r="E85" s="5382" t="s">
        <v>112</v>
      </c>
      <c r="F85" s="5382"/>
      <c r="G85" s="5382"/>
      <c r="H85" s="5382"/>
      <c r="I85" s="5384"/>
      <c r="J85" s="5384"/>
      <c r="K85" s="5383" t="str">
        <f>J84&amp;".1"</f>
        <v>3.1.1.1.1.1.1</v>
      </c>
      <c r="L85" s="1295" t="s">
        <v>436</v>
      </c>
      <c r="M85" s="1292"/>
      <c r="N85" s="1292"/>
      <c r="O85" s="1292"/>
      <c r="P85" s="5385"/>
      <c r="Q85" s="5385"/>
      <c r="R85" s="293">
        <v>1</v>
      </c>
      <c r="S85" s="2012" t="str">
        <f>$K85</f>
        <v>3.1.1.1.1.1.1</v>
      </c>
      <c r="T85" s="1273" t="s">
        <v>473</v>
      </c>
      <c r="U85" s="237"/>
      <c r="V85" s="687"/>
      <c r="W85" s="262"/>
      <c r="X85" s="687"/>
      <c r="Y85" s="1183"/>
      <c r="Z85" s="5386"/>
      <c r="AA85" s="5245" t="s">
        <v>65</v>
      </c>
      <c r="AB85" s="5386"/>
      <c r="AC85" s="5245" t="s">
        <v>65</v>
      </c>
      <c r="AD85" s="687">
        <v>1368.99</v>
      </c>
      <c r="AE85" s="262"/>
      <c r="AF85" s="687"/>
      <c r="AG85" s="1183"/>
      <c r="AH85" s="5386">
        <v>45292</v>
      </c>
      <c r="AI85" s="5245" t="s">
        <v>65</v>
      </c>
      <c r="AJ85" s="5386">
        <v>45473</v>
      </c>
      <c r="AK85" s="5245" t="s">
        <v>65</v>
      </c>
      <c r="AL85" s="687">
        <v>1465.37</v>
      </c>
      <c r="AM85" s="262"/>
      <c r="AN85" s="687"/>
      <c r="AO85" s="1183"/>
      <c r="AP85" s="5386">
        <v>45474</v>
      </c>
      <c r="AQ85" s="5245" t="s">
        <v>65</v>
      </c>
      <c r="AR85" s="5386">
        <v>45657</v>
      </c>
      <c r="AS85" s="5245" t="s">
        <v>65</v>
      </c>
      <c r="AT85" s="687">
        <v>1468.64</v>
      </c>
      <c r="AU85" s="262"/>
      <c r="AV85" s="687"/>
      <c r="AW85" s="1183"/>
      <c r="AX85" s="5386">
        <v>45658</v>
      </c>
      <c r="AY85" s="5245" t="s">
        <v>65</v>
      </c>
      <c r="AZ85" s="5386">
        <v>45838</v>
      </c>
      <c r="BA85" s="5245" t="s">
        <v>65</v>
      </c>
      <c r="BB85" s="687">
        <v>1591.98</v>
      </c>
      <c r="BC85" s="262"/>
      <c r="BD85" s="687"/>
      <c r="BE85" s="1183"/>
      <c r="BF85" s="5386">
        <v>45839</v>
      </c>
      <c r="BG85" s="5245" t="s">
        <v>65</v>
      </c>
      <c r="BH85" s="5386">
        <v>46022</v>
      </c>
      <c r="BI85" s="5245" t="s">
        <v>65</v>
      </c>
      <c r="BJ85" s="687">
        <v>1591.98</v>
      </c>
      <c r="BK85" s="262"/>
      <c r="BL85" s="687"/>
      <c r="BM85" s="1183"/>
      <c r="BN85" s="5386">
        <v>46023</v>
      </c>
      <c r="BO85" s="5245" t="s">
        <v>65</v>
      </c>
      <c r="BP85" s="5386">
        <v>46203</v>
      </c>
      <c r="BQ85" s="5245" t="s">
        <v>65</v>
      </c>
      <c r="BR85" s="687">
        <v>1620.49</v>
      </c>
      <c r="BS85" s="262"/>
      <c r="BT85" s="687"/>
      <c r="BU85" s="1183"/>
      <c r="BV85" s="5386">
        <v>46204</v>
      </c>
      <c r="BW85" s="5245" t="s">
        <v>65</v>
      </c>
      <c r="BX85" s="5386">
        <v>46387</v>
      </c>
      <c r="BY85" s="5245" t="s">
        <v>65</v>
      </c>
      <c r="BZ85" s="687">
        <v>1620.49</v>
      </c>
      <c r="CA85" s="262"/>
      <c r="CB85" s="687"/>
      <c r="CC85" s="1183"/>
      <c r="CD85" s="5386">
        <v>46388</v>
      </c>
      <c r="CE85" s="5245" t="s">
        <v>65</v>
      </c>
      <c r="CF85" s="5386">
        <v>46568</v>
      </c>
      <c r="CG85" s="5245" t="s">
        <v>65</v>
      </c>
      <c r="CH85" s="687">
        <v>1716.79</v>
      </c>
      <c r="CI85" s="262"/>
      <c r="CJ85" s="687"/>
      <c r="CK85" s="1183"/>
      <c r="CL85" s="5386">
        <v>46569</v>
      </c>
      <c r="CM85" s="5245" t="s">
        <v>65</v>
      </c>
      <c r="CN85" s="5386">
        <v>46752</v>
      </c>
      <c r="CO85" s="5245" t="s">
        <v>65</v>
      </c>
      <c r="CP85" s="687">
        <v>1716.79</v>
      </c>
      <c r="CQ85" s="262"/>
      <c r="CR85" s="687"/>
      <c r="CS85" s="1183"/>
      <c r="CT85" s="5386">
        <v>46753</v>
      </c>
      <c r="CU85" s="5245" t="s">
        <v>65</v>
      </c>
      <c r="CV85" s="5386">
        <v>46934</v>
      </c>
      <c r="CW85" s="5245" t="s">
        <v>65</v>
      </c>
      <c r="CX85" s="687">
        <v>1735.07</v>
      </c>
      <c r="CY85" s="262"/>
      <c r="CZ85" s="687"/>
      <c r="DA85" s="1183"/>
      <c r="DB85" s="5386">
        <v>46935</v>
      </c>
      <c r="DC85" s="5245" t="s">
        <v>65</v>
      </c>
      <c r="DD85" s="5386">
        <v>47118</v>
      </c>
      <c r="DE85" s="5245" t="s">
        <v>65</v>
      </c>
      <c r="DF85" s="262"/>
      <c r="DG85" s="5405" t="s">
        <v>437</v>
      </c>
      <c r="DH85" s="1568" t="e">
        <f ca="1">STRCHECKDATE(V86:DF86)</f>
        <v>#NAME?</v>
      </c>
      <c r="DI85" s="1550"/>
      <c r="DJ85" s="1550" t="str">
        <f t="shared" si="2"/>
        <v>вода</v>
      </c>
      <c r="DK85" s="1550"/>
      <c r="DL85" s="1550"/>
      <c r="DM85" s="1561">
        <v>0</v>
      </c>
    </row>
    <row r="86" spans="1:117" s="1774" customFormat="1" ht="0.75" customHeight="1">
      <c r="A86" s="1289"/>
      <c r="B86" s="1289"/>
      <c r="C86" s="1289"/>
      <c r="D86" s="1289"/>
      <c r="E86" s="5382" t="s">
        <v>112</v>
      </c>
      <c r="F86" s="5382"/>
      <c r="G86" s="5382"/>
      <c r="H86" s="5382"/>
      <c r="I86" s="5384"/>
      <c r="J86" s="5384"/>
      <c r="K86" s="5383"/>
      <c r="L86" s="1295"/>
      <c r="M86" s="1292"/>
      <c r="N86" s="1292"/>
      <c r="O86" s="1292"/>
      <c r="P86" s="5385"/>
      <c r="Q86" s="5385"/>
      <c r="R86" s="293"/>
      <c r="S86" s="2019"/>
      <c r="T86" s="237"/>
      <c r="U86" s="237"/>
      <c r="V86" s="262"/>
      <c r="W86" s="262"/>
      <c r="X86" s="262"/>
      <c r="Y86" s="265" t="str">
        <f>Z85&amp;"-"&amp;AB85</f>
        <v>-</v>
      </c>
      <c r="Z86" s="5387"/>
      <c r="AA86" s="5245"/>
      <c r="AB86" s="5387"/>
      <c r="AC86" s="5245"/>
      <c r="AD86" s="262"/>
      <c r="AE86" s="262"/>
      <c r="AF86" s="262"/>
      <c r="AG86" s="265" t="str">
        <f>AH85&amp;"-"&amp;AJ85</f>
        <v>45292-45473</v>
      </c>
      <c r="AH86" s="5387"/>
      <c r="AI86" s="5245"/>
      <c r="AJ86" s="5387"/>
      <c r="AK86" s="5245"/>
      <c r="AL86" s="262"/>
      <c r="AM86" s="262"/>
      <c r="AN86" s="262"/>
      <c r="AO86" s="265" t="str">
        <f>AP85&amp;"-"&amp;AR85</f>
        <v>45474-45657</v>
      </c>
      <c r="AP86" s="5387"/>
      <c r="AQ86" s="5245"/>
      <c r="AR86" s="5387"/>
      <c r="AS86" s="5245"/>
      <c r="AT86" s="262"/>
      <c r="AU86" s="262"/>
      <c r="AV86" s="262"/>
      <c r="AW86" s="265" t="str">
        <f>AX85&amp;"-"&amp;AZ85</f>
        <v>45658-45838</v>
      </c>
      <c r="AX86" s="5387"/>
      <c r="AY86" s="5245"/>
      <c r="AZ86" s="5387"/>
      <c r="BA86" s="5245"/>
      <c r="BB86" s="262"/>
      <c r="BC86" s="262"/>
      <c r="BD86" s="262"/>
      <c r="BE86" s="265" t="str">
        <f>BF85&amp;"-"&amp;BH85</f>
        <v>45839-46022</v>
      </c>
      <c r="BF86" s="5387"/>
      <c r="BG86" s="5245"/>
      <c r="BH86" s="5387"/>
      <c r="BI86" s="5245"/>
      <c r="BJ86" s="262"/>
      <c r="BK86" s="262"/>
      <c r="BL86" s="262"/>
      <c r="BM86" s="265" t="str">
        <f>BN85&amp;"-"&amp;BP85</f>
        <v>46023-46203</v>
      </c>
      <c r="BN86" s="5387"/>
      <c r="BO86" s="5245"/>
      <c r="BP86" s="5387"/>
      <c r="BQ86" s="5245"/>
      <c r="BR86" s="262"/>
      <c r="BS86" s="262"/>
      <c r="BT86" s="262"/>
      <c r="BU86" s="265" t="str">
        <f>BV85&amp;"-"&amp;BX85</f>
        <v>46204-46387</v>
      </c>
      <c r="BV86" s="5387"/>
      <c r="BW86" s="5245"/>
      <c r="BX86" s="5387"/>
      <c r="BY86" s="5245"/>
      <c r="BZ86" s="262"/>
      <c r="CA86" s="262"/>
      <c r="CB86" s="262"/>
      <c r="CC86" s="265" t="str">
        <f>CD85&amp;"-"&amp;CF85</f>
        <v>46388-46568</v>
      </c>
      <c r="CD86" s="5387"/>
      <c r="CE86" s="5245"/>
      <c r="CF86" s="5387"/>
      <c r="CG86" s="5245"/>
      <c r="CH86" s="262"/>
      <c r="CI86" s="262"/>
      <c r="CJ86" s="262"/>
      <c r="CK86" s="265" t="str">
        <f>CL85&amp;"-"&amp;CN85</f>
        <v>46569-46752</v>
      </c>
      <c r="CL86" s="5387"/>
      <c r="CM86" s="5245"/>
      <c r="CN86" s="5387"/>
      <c r="CO86" s="5245"/>
      <c r="CP86" s="262"/>
      <c r="CQ86" s="262"/>
      <c r="CR86" s="262"/>
      <c r="CS86" s="265" t="str">
        <f>CT85&amp;"-"&amp;CV85</f>
        <v>46753-46934</v>
      </c>
      <c r="CT86" s="5387"/>
      <c r="CU86" s="5245"/>
      <c r="CV86" s="5387"/>
      <c r="CW86" s="5245"/>
      <c r="CX86" s="262"/>
      <c r="CY86" s="262"/>
      <c r="CZ86" s="262"/>
      <c r="DA86" s="265" t="str">
        <f>DB85&amp;"-"&amp;DD85</f>
        <v>46935-47118</v>
      </c>
      <c r="DB86" s="5387"/>
      <c r="DC86" s="5245"/>
      <c r="DD86" s="5387"/>
      <c r="DE86" s="5245"/>
      <c r="DF86" s="262"/>
      <c r="DG86" s="5406"/>
      <c r="DH86" s="1568"/>
      <c r="DI86" s="1550"/>
      <c r="DJ86" s="1550" t="str">
        <f t="shared" si="2"/>
        <v/>
      </c>
      <c r="DK86" s="1550"/>
      <c r="DL86" s="1550"/>
      <c r="DM86" s="1561">
        <v>0</v>
      </c>
    </row>
    <row r="87" spans="1:117" s="1774" customFormat="1" ht="15" customHeight="1">
      <c r="A87" s="1289"/>
      <c r="B87" s="1289"/>
      <c r="C87" s="1289"/>
      <c r="D87" s="1289"/>
      <c r="E87" s="5382" t="s">
        <v>112</v>
      </c>
      <c r="F87" s="5382"/>
      <c r="G87" s="5382"/>
      <c r="H87" s="5382"/>
      <c r="I87" s="5384"/>
      <c r="J87" s="5383"/>
      <c r="K87" s="1289"/>
      <c r="L87" s="1295"/>
      <c r="M87" s="1292"/>
      <c r="N87" s="1292"/>
      <c r="O87" s="1701"/>
      <c r="P87" s="5385"/>
      <c r="Q87" s="5385"/>
      <c r="R87" s="292"/>
      <c r="S87" s="2264"/>
      <c r="T87" s="2265" t="s">
        <v>438</v>
      </c>
      <c r="U87" s="2266"/>
      <c r="V87" s="2267"/>
      <c r="W87" s="2268"/>
      <c r="X87" s="2269"/>
      <c r="Y87" s="2270"/>
      <c r="Z87" s="2271"/>
      <c r="AA87" s="2272"/>
      <c r="AB87" s="2273"/>
      <c r="AC87" s="2274"/>
      <c r="AD87" s="2275"/>
      <c r="AE87" s="2276"/>
      <c r="AF87" s="2277"/>
      <c r="AG87" s="2278"/>
      <c r="AH87" s="2279"/>
      <c r="AI87" s="2280"/>
      <c r="AJ87" s="2281"/>
      <c r="AK87" s="2282"/>
      <c r="AL87" s="3287"/>
      <c r="AM87" s="3288"/>
      <c r="AN87" s="3289"/>
      <c r="AO87" s="3290"/>
      <c r="AP87" s="3291"/>
      <c r="AQ87" s="3292"/>
      <c r="AR87" s="3293"/>
      <c r="AS87" s="3294"/>
      <c r="AT87" s="3295"/>
      <c r="AU87" s="3296"/>
      <c r="AV87" s="3297"/>
      <c r="AW87" s="3298"/>
      <c r="AX87" s="3299"/>
      <c r="AY87" s="3300"/>
      <c r="AZ87" s="3301"/>
      <c r="BA87" s="3302"/>
      <c r="BB87" s="3303"/>
      <c r="BC87" s="3304"/>
      <c r="BD87" s="3305"/>
      <c r="BE87" s="3306"/>
      <c r="BF87" s="3307"/>
      <c r="BG87" s="3308"/>
      <c r="BH87" s="3309"/>
      <c r="BI87" s="3310"/>
      <c r="BJ87" s="3311"/>
      <c r="BK87" s="3312"/>
      <c r="BL87" s="3313"/>
      <c r="BM87" s="3314"/>
      <c r="BN87" s="3315"/>
      <c r="BO87" s="3316"/>
      <c r="BP87" s="3317"/>
      <c r="BQ87" s="3318"/>
      <c r="BR87" s="3319"/>
      <c r="BS87" s="3320"/>
      <c r="BT87" s="3321"/>
      <c r="BU87" s="3322"/>
      <c r="BV87" s="3323"/>
      <c r="BW87" s="3324"/>
      <c r="BX87" s="3325"/>
      <c r="BY87" s="3326"/>
      <c r="BZ87" s="3327"/>
      <c r="CA87" s="3328"/>
      <c r="CB87" s="3329"/>
      <c r="CC87" s="3330"/>
      <c r="CD87" s="3331"/>
      <c r="CE87" s="3332"/>
      <c r="CF87" s="3333"/>
      <c r="CG87" s="3334"/>
      <c r="CH87" s="3335"/>
      <c r="CI87" s="3336"/>
      <c r="CJ87" s="3337"/>
      <c r="CK87" s="3338"/>
      <c r="CL87" s="3339"/>
      <c r="CM87" s="3340"/>
      <c r="CN87" s="3341"/>
      <c r="CO87" s="3342"/>
      <c r="CP87" s="3343"/>
      <c r="CQ87" s="3344"/>
      <c r="CR87" s="3345"/>
      <c r="CS87" s="3346"/>
      <c r="CT87" s="3347"/>
      <c r="CU87" s="3348"/>
      <c r="CV87" s="3349"/>
      <c r="CW87" s="3350"/>
      <c r="CX87" s="3351"/>
      <c r="CY87" s="3352"/>
      <c r="CZ87" s="3353"/>
      <c r="DA87" s="3354"/>
      <c r="DB87" s="3355"/>
      <c r="DC87" s="3356"/>
      <c r="DD87" s="3357"/>
      <c r="DE87" s="5176"/>
      <c r="DF87" s="2283"/>
      <c r="DG87" s="5407"/>
      <c r="DH87" s="1568"/>
      <c r="DI87" s="1550"/>
      <c r="DJ87" s="1550" t="str">
        <f t="shared" si="2"/>
        <v>Добавить вид теплоносителя (параметры теплоносителя)</v>
      </c>
      <c r="DK87" s="1550"/>
      <c r="DL87" s="1550"/>
      <c r="DM87" s="1561">
        <v>0</v>
      </c>
    </row>
    <row r="88" spans="1:117" s="1774" customFormat="1" ht="15" customHeight="1">
      <c r="A88" s="1289"/>
      <c r="B88" s="1289"/>
      <c r="C88" s="1289"/>
      <c r="D88" s="1289"/>
      <c r="E88" s="5382" t="s">
        <v>112</v>
      </c>
      <c r="F88" s="5382"/>
      <c r="G88" s="5382"/>
      <c r="H88" s="5382"/>
      <c r="I88" s="5383"/>
      <c r="J88" s="1289"/>
      <c r="K88" s="1289"/>
      <c r="L88" s="1295"/>
      <c r="M88" s="1292"/>
      <c r="N88" s="1701"/>
      <c r="O88" s="1701"/>
      <c r="P88" s="5385"/>
      <c r="Q88" s="2014"/>
      <c r="R88" s="292"/>
      <c r="S88" s="2284"/>
      <c r="T88" s="2285" t="s">
        <v>439</v>
      </c>
      <c r="U88" s="2286"/>
      <c r="V88" s="2287"/>
      <c r="W88" s="2288"/>
      <c r="X88" s="2289"/>
      <c r="Y88" s="2290"/>
      <c r="Z88" s="2291"/>
      <c r="AA88" s="2292"/>
      <c r="AB88" s="2293"/>
      <c r="AC88" s="2294"/>
      <c r="AD88" s="2295"/>
      <c r="AE88" s="2296"/>
      <c r="AF88" s="2297"/>
      <c r="AG88" s="2298"/>
      <c r="AH88" s="2299"/>
      <c r="AI88" s="2300"/>
      <c r="AJ88" s="2301"/>
      <c r="AK88" s="2302"/>
      <c r="AL88" s="3358"/>
      <c r="AM88" s="3359"/>
      <c r="AN88" s="3360"/>
      <c r="AO88" s="3361"/>
      <c r="AP88" s="3362"/>
      <c r="AQ88" s="3363"/>
      <c r="AR88" s="3364"/>
      <c r="AS88" s="3365"/>
      <c r="AT88" s="3366"/>
      <c r="AU88" s="3367"/>
      <c r="AV88" s="3368"/>
      <c r="AW88" s="3369"/>
      <c r="AX88" s="3370"/>
      <c r="AY88" s="3371"/>
      <c r="AZ88" s="3372"/>
      <c r="BA88" s="3373"/>
      <c r="BB88" s="3374"/>
      <c r="BC88" s="3375"/>
      <c r="BD88" s="3376"/>
      <c r="BE88" s="3377"/>
      <c r="BF88" s="3378"/>
      <c r="BG88" s="3379"/>
      <c r="BH88" s="3380"/>
      <c r="BI88" s="3381"/>
      <c r="BJ88" s="3382"/>
      <c r="BK88" s="3383"/>
      <c r="BL88" s="3384"/>
      <c r="BM88" s="3385"/>
      <c r="BN88" s="3386"/>
      <c r="BO88" s="3387"/>
      <c r="BP88" s="3388"/>
      <c r="BQ88" s="3389"/>
      <c r="BR88" s="3390"/>
      <c r="BS88" s="3391"/>
      <c r="BT88" s="3392"/>
      <c r="BU88" s="3393"/>
      <c r="BV88" s="3394"/>
      <c r="BW88" s="3395"/>
      <c r="BX88" s="3396"/>
      <c r="BY88" s="3397"/>
      <c r="BZ88" s="3398"/>
      <c r="CA88" s="3399"/>
      <c r="CB88" s="3400"/>
      <c r="CC88" s="3401"/>
      <c r="CD88" s="3402"/>
      <c r="CE88" s="3403"/>
      <c r="CF88" s="3404"/>
      <c r="CG88" s="3405"/>
      <c r="CH88" s="3406"/>
      <c r="CI88" s="3407"/>
      <c r="CJ88" s="3408"/>
      <c r="CK88" s="3409"/>
      <c r="CL88" s="3410"/>
      <c r="CM88" s="3411"/>
      <c r="CN88" s="3412"/>
      <c r="CO88" s="3413"/>
      <c r="CP88" s="3414"/>
      <c r="CQ88" s="3415"/>
      <c r="CR88" s="3416"/>
      <c r="CS88" s="3417"/>
      <c r="CT88" s="3418"/>
      <c r="CU88" s="3419"/>
      <c r="CV88" s="3420"/>
      <c r="CW88" s="3421"/>
      <c r="CX88" s="3422"/>
      <c r="CY88" s="3423"/>
      <c r="CZ88" s="3424"/>
      <c r="DA88" s="3425"/>
      <c r="DB88" s="3426"/>
      <c r="DC88" s="3427"/>
      <c r="DD88" s="3428"/>
      <c r="DE88" s="5177"/>
      <c r="DF88" s="2303"/>
      <c r="DG88" s="2304"/>
      <c r="DH88" s="1568"/>
      <c r="DI88" s="1550"/>
      <c r="DJ88" s="1550" t="str">
        <f t="shared" si="2"/>
        <v>Добавить группу потребителей</v>
      </c>
      <c r="DK88" s="1550"/>
      <c r="DL88" s="1550"/>
      <c r="DM88" s="1561">
        <v>0</v>
      </c>
    </row>
    <row r="89" spans="1:117" s="1774" customFormat="1" ht="14.25" customHeight="1">
      <c r="A89" s="1289"/>
      <c r="B89" s="1289"/>
      <c r="C89" s="1289"/>
      <c r="D89" s="1289"/>
      <c r="E89" s="5382" t="s">
        <v>112</v>
      </c>
      <c r="F89" s="5382"/>
      <c r="G89" s="5382"/>
      <c r="H89" s="5381"/>
      <c r="I89" s="1289"/>
      <c r="J89" s="1289"/>
      <c r="K89" s="1289"/>
      <c r="L89" s="1295"/>
      <c r="M89" s="1291"/>
      <c r="N89" s="1291"/>
      <c r="O89" s="1292"/>
      <c r="P89" s="1747"/>
      <c r="Q89" s="311"/>
      <c r="R89" s="291"/>
      <c r="S89" s="2305"/>
      <c r="T89" s="2306" t="s">
        <v>440</v>
      </c>
      <c r="U89" s="2307"/>
      <c r="V89" s="2308"/>
      <c r="W89" s="2309"/>
      <c r="X89" s="2310"/>
      <c r="Y89" s="2311"/>
      <c r="Z89" s="2312"/>
      <c r="AA89" s="2313"/>
      <c r="AB89" s="2314"/>
      <c r="AC89" s="2315"/>
      <c r="AD89" s="2316"/>
      <c r="AE89" s="2317"/>
      <c r="AF89" s="2318"/>
      <c r="AG89" s="2319"/>
      <c r="AH89" s="2320"/>
      <c r="AI89" s="2321"/>
      <c r="AJ89" s="2322"/>
      <c r="AK89" s="2323"/>
      <c r="AL89" s="3429"/>
      <c r="AM89" s="3430"/>
      <c r="AN89" s="3431"/>
      <c r="AO89" s="3432"/>
      <c r="AP89" s="3433"/>
      <c r="AQ89" s="3434"/>
      <c r="AR89" s="3435"/>
      <c r="AS89" s="3436"/>
      <c r="AT89" s="3437"/>
      <c r="AU89" s="3438"/>
      <c r="AV89" s="3439"/>
      <c r="AW89" s="3440"/>
      <c r="AX89" s="3441"/>
      <c r="AY89" s="3442"/>
      <c r="AZ89" s="3443"/>
      <c r="BA89" s="3444"/>
      <c r="BB89" s="3445"/>
      <c r="BC89" s="3446"/>
      <c r="BD89" s="3447"/>
      <c r="BE89" s="3448"/>
      <c r="BF89" s="3449"/>
      <c r="BG89" s="3450"/>
      <c r="BH89" s="3451"/>
      <c r="BI89" s="3452"/>
      <c r="BJ89" s="3453"/>
      <c r="BK89" s="3454"/>
      <c r="BL89" s="3455"/>
      <c r="BM89" s="3456"/>
      <c r="BN89" s="3457"/>
      <c r="BO89" s="3458"/>
      <c r="BP89" s="3459"/>
      <c r="BQ89" s="3460"/>
      <c r="BR89" s="3461"/>
      <c r="BS89" s="3462"/>
      <c r="BT89" s="3463"/>
      <c r="BU89" s="3464"/>
      <c r="BV89" s="3465"/>
      <c r="BW89" s="3466"/>
      <c r="BX89" s="3467"/>
      <c r="BY89" s="3468"/>
      <c r="BZ89" s="3469"/>
      <c r="CA89" s="3470"/>
      <c r="CB89" s="3471"/>
      <c r="CC89" s="3472"/>
      <c r="CD89" s="3473"/>
      <c r="CE89" s="3474"/>
      <c r="CF89" s="3475"/>
      <c r="CG89" s="3476"/>
      <c r="CH89" s="3477"/>
      <c r="CI89" s="3478"/>
      <c r="CJ89" s="3479"/>
      <c r="CK89" s="3480"/>
      <c r="CL89" s="3481"/>
      <c r="CM89" s="3482"/>
      <c r="CN89" s="3483"/>
      <c r="CO89" s="3484"/>
      <c r="CP89" s="3485"/>
      <c r="CQ89" s="3486"/>
      <c r="CR89" s="3487"/>
      <c r="CS89" s="3488"/>
      <c r="CT89" s="3489"/>
      <c r="CU89" s="3490"/>
      <c r="CV89" s="3491"/>
      <c r="CW89" s="3492"/>
      <c r="CX89" s="3493"/>
      <c r="CY89" s="3494"/>
      <c r="CZ89" s="3495"/>
      <c r="DA89" s="3496"/>
      <c r="DB89" s="3497"/>
      <c r="DC89" s="3498"/>
      <c r="DD89" s="3499"/>
      <c r="DE89" s="5178"/>
      <c r="DF89" s="2324"/>
      <c r="DG89" s="2325"/>
      <c r="DH89" s="1568"/>
      <c r="DI89" s="1550"/>
      <c r="DJ89" s="1550" t="str">
        <f t="shared" si="2"/>
        <v>Добавить схему подключения</v>
      </c>
      <c r="DK89" s="1550"/>
      <c r="DL89" s="1550"/>
      <c r="DM89" s="1561">
        <v>0</v>
      </c>
    </row>
    <row r="90" spans="1:117" s="558" customFormat="1" ht="0.75" customHeight="1">
      <c r="A90" s="1269"/>
      <c r="B90" s="1269"/>
      <c r="C90" s="1269"/>
      <c r="D90" s="1269"/>
      <c r="E90" s="5382" t="s">
        <v>112</v>
      </c>
      <c r="F90" s="5382"/>
      <c r="G90" s="5381"/>
      <c r="H90" s="1269"/>
      <c r="I90" s="1269"/>
      <c r="J90" s="1269"/>
      <c r="K90" s="1269"/>
      <c r="L90" s="1471"/>
      <c r="M90" s="1241"/>
      <c r="N90" s="1241"/>
      <c r="O90" s="1568"/>
      <c r="P90" s="1242"/>
      <c r="Q90" s="1270"/>
      <c r="R90" s="1242"/>
      <c r="S90" s="1244"/>
      <c r="T90" s="1245" t="s">
        <v>163</v>
      </c>
      <c r="U90" s="1246"/>
      <c r="V90" s="1246"/>
      <c r="W90" s="1246"/>
      <c r="X90" s="1246"/>
      <c r="Y90" s="1246"/>
      <c r="Z90" s="1246"/>
      <c r="AA90" s="1246"/>
      <c r="AB90" s="1246"/>
      <c r="AC90" s="1246"/>
      <c r="AD90" s="1246"/>
      <c r="AE90" s="1246"/>
      <c r="AF90" s="1246"/>
      <c r="AG90" s="1246"/>
      <c r="AH90" s="1246"/>
      <c r="AI90" s="1246"/>
      <c r="AJ90" s="1246"/>
      <c r="AK90" s="1246"/>
      <c r="AL90" s="1246"/>
      <c r="AM90" s="1246"/>
      <c r="AN90" s="1246"/>
      <c r="AO90" s="1246"/>
      <c r="AP90" s="1246"/>
      <c r="AQ90" s="1246"/>
      <c r="AR90" s="1246"/>
      <c r="AS90" s="1246"/>
      <c r="AT90" s="1246"/>
      <c r="AU90" s="1246"/>
      <c r="AV90" s="1246"/>
      <c r="AW90" s="1246"/>
      <c r="AX90" s="1246"/>
      <c r="AY90" s="1246"/>
      <c r="AZ90" s="1246"/>
      <c r="BA90" s="1246"/>
      <c r="BB90" s="1246"/>
      <c r="BC90" s="1246"/>
      <c r="BD90" s="1246"/>
      <c r="BE90" s="1246"/>
      <c r="BF90" s="1246"/>
      <c r="BG90" s="1246"/>
      <c r="BH90" s="1246"/>
      <c r="BI90" s="1246"/>
      <c r="BJ90" s="1246"/>
      <c r="BK90" s="1246"/>
      <c r="BL90" s="1246"/>
      <c r="BM90" s="1246"/>
      <c r="BN90" s="1246"/>
      <c r="BO90" s="1246"/>
      <c r="BP90" s="1246"/>
      <c r="BQ90" s="1246"/>
      <c r="BR90" s="1246"/>
      <c r="BS90" s="1246"/>
      <c r="BT90" s="1246"/>
      <c r="BU90" s="1246"/>
      <c r="BV90" s="1246"/>
      <c r="BW90" s="1246"/>
      <c r="BX90" s="1246"/>
      <c r="BY90" s="1246"/>
      <c r="BZ90" s="1246"/>
      <c r="CA90" s="1246"/>
      <c r="CB90" s="1246"/>
      <c r="CC90" s="1246"/>
      <c r="CD90" s="1246"/>
      <c r="CE90" s="1246"/>
      <c r="CF90" s="1246"/>
      <c r="CG90" s="1246"/>
      <c r="CH90" s="1246"/>
      <c r="CI90" s="1246"/>
      <c r="CJ90" s="1246"/>
      <c r="CK90" s="1246"/>
      <c r="CL90" s="1246"/>
      <c r="CM90" s="1246"/>
      <c r="CN90" s="1246"/>
      <c r="CO90" s="1246"/>
      <c r="CP90" s="1246"/>
      <c r="CQ90" s="1246"/>
      <c r="CR90" s="1246"/>
      <c r="CS90" s="1246"/>
      <c r="CT90" s="1246"/>
      <c r="CU90" s="1246"/>
      <c r="CV90" s="1246"/>
      <c r="CW90" s="1246"/>
      <c r="CX90" s="1246"/>
      <c r="CY90" s="1246"/>
      <c r="CZ90" s="1246"/>
      <c r="DA90" s="1246"/>
      <c r="DB90" s="1246"/>
      <c r="DC90" s="1246"/>
      <c r="DD90" s="1246"/>
      <c r="DE90" s="1246"/>
      <c r="DF90" s="1246"/>
      <c r="DG90" s="1246"/>
      <c r="DH90" s="1568"/>
      <c r="DI90" s="1550"/>
      <c r="DJ90" s="1550" t="str">
        <f t="shared" si="2"/>
        <v>Добавить источник для дифференциации</v>
      </c>
      <c r="DK90" s="1550"/>
      <c r="DL90" s="1550"/>
      <c r="DM90" s="1568">
        <v>0</v>
      </c>
    </row>
    <row r="91" spans="1:117" s="558" customFormat="1" ht="0.75" customHeight="1">
      <c r="A91" s="1269"/>
      <c r="B91" s="1269"/>
      <c r="C91" s="1269"/>
      <c r="D91" s="1269"/>
      <c r="E91" s="5382" t="s">
        <v>112</v>
      </c>
      <c r="F91" s="5381"/>
      <c r="G91" s="1269"/>
      <c r="H91" s="1269"/>
      <c r="I91" s="1269"/>
      <c r="J91" s="1269"/>
      <c r="K91" s="1269"/>
      <c r="L91" s="1471"/>
      <c r="M91" s="1247"/>
      <c r="N91" s="1247"/>
      <c r="O91" s="1568"/>
      <c r="P91" s="1242"/>
      <c r="Q91" s="1270"/>
      <c r="R91" s="1242"/>
      <c r="S91" s="1248"/>
      <c r="T91" s="1249" t="s">
        <v>164</v>
      </c>
      <c r="U91" s="1250"/>
      <c r="V91" s="1250"/>
      <c r="W91" s="1250"/>
      <c r="X91" s="1250"/>
      <c r="Y91" s="1250"/>
      <c r="Z91" s="1250"/>
      <c r="AA91" s="1250"/>
      <c r="AB91" s="1250"/>
      <c r="AC91" s="1250"/>
      <c r="AD91" s="1250"/>
      <c r="AE91" s="1250"/>
      <c r="AF91" s="1250"/>
      <c r="AG91" s="1250"/>
      <c r="AH91" s="1250"/>
      <c r="AI91" s="1250"/>
      <c r="AJ91" s="1250"/>
      <c r="AK91" s="1250"/>
      <c r="AL91" s="1250"/>
      <c r="AM91" s="1250"/>
      <c r="AN91" s="1250"/>
      <c r="AO91" s="1250"/>
      <c r="AP91" s="1250"/>
      <c r="AQ91" s="1250"/>
      <c r="AR91" s="1250"/>
      <c r="AS91" s="1250"/>
      <c r="AT91" s="1250"/>
      <c r="AU91" s="1250"/>
      <c r="AV91" s="1250"/>
      <c r="AW91" s="1250"/>
      <c r="AX91" s="1250"/>
      <c r="AY91" s="1250"/>
      <c r="AZ91" s="1250"/>
      <c r="BA91" s="1250"/>
      <c r="BB91" s="1250"/>
      <c r="BC91" s="1250"/>
      <c r="BD91" s="1250"/>
      <c r="BE91" s="1250"/>
      <c r="BF91" s="1250"/>
      <c r="BG91" s="1250"/>
      <c r="BH91" s="1250"/>
      <c r="BI91" s="1250"/>
      <c r="BJ91" s="1250"/>
      <c r="BK91" s="1250"/>
      <c r="BL91" s="1250"/>
      <c r="BM91" s="1250"/>
      <c r="BN91" s="1250"/>
      <c r="BO91" s="1250"/>
      <c r="BP91" s="1250"/>
      <c r="BQ91" s="1250"/>
      <c r="BR91" s="1250"/>
      <c r="BS91" s="1250"/>
      <c r="BT91" s="1250"/>
      <c r="BU91" s="1250"/>
      <c r="BV91" s="1250"/>
      <c r="BW91" s="1250"/>
      <c r="BX91" s="1250"/>
      <c r="BY91" s="1250"/>
      <c r="BZ91" s="1250"/>
      <c r="CA91" s="1250"/>
      <c r="CB91" s="1250"/>
      <c r="CC91" s="1250"/>
      <c r="CD91" s="1250"/>
      <c r="CE91" s="1250"/>
      <c r="CF91" s="1250"/>
      <c r="CG91" s="1250"/>
      <c r="CH91" s="1250"/>
      <c r="CI91" s="1250"/>
      <c r="CJ91" s="1250"/>
      <c r="CK91" s="1250"/>
      <c r="CL91" s="1250"/>
      <c r="CM91" s="1250"/>
      <c r="CN91" s="1250"/>
      <c r="CO91" s="1250"/>
      <c r="CP91" s="1250"/>
      <c r="CQ91" s="1250"/>
      <c r="CR91" s="1250"/>
      <c r="CS91" s="1250"/>
      <c r="CT91" s="1250"/>
      <c r="CU91" s="1250"/>
      <c r="CV91" s="1250"/>
      <c r="CW91" s="1250"/>
      <c r="CX91" s="1250"/>
      <c r="CY91" s="1250"/>
      <c r="CZ91" s="1250"/>
      <c r="DA91" s="1250"/>
      <c r="DB91" s="1250"/>
      <c r="DC91" s="1250"/>
      <c r="DD91" s="1250"/>
      <c r="DE91" s="1250"/>
      <c r="DF91" s="1250"/>
      <c r="DG91" s="1250"/>
      <c r="DH91" s="1568"/>
      <c r="DI91" s="1550"/>
      <c r="DJ91" s="1550" t="str">
        <f t="shared" si="2"/>
        <v>Добавить централизованную систему для дифференциации</v>
      </c>
      <c r="DK91" s="1550"/>
      <c r="DL91" s="1550"/>
      <c r="DM91" s="1568">
        <v>0</v>
      </c>
    </row>
    <row r="92" spans="1:117" s="558" customFormat="1" ht="0.75" customHeight="1">
      <c r="A92" s="1269"/>
      <c r="B92" s="1269"/>
      <c r="C92" s="1269"/>
      <c r="D92" s="1269"/>
      <c r="E92" s="5381" t="s">
        <v>112</v>
      </c>
      <c r="F92" s="1269"/>
      <c r="G92" s="1269"/>
      <c r="H92" s="1269"/>
      <c r="I92" s="1269"/>
      <c r="J92" s="1269"/>
      <c r="K92" s="1269"/>
      <c r="L92" s="1471"/>
      <c r="M92" s="1247"/>
      <c r="N92" s="1247"/>
      <c r="O92" s="1568"/>
      <c r="P92" s="1242"/>
      <c r="Q92" s="1270"/>
      <c r="R92" s="1242"/>
      <c r="S92" s="1248"/>
      <c r="T92" s="1251" t="s">
        <v>165</v>
      </c>
      <c r="U92" s="1250"/>
      <c r="V92" s="1250"/>
      <c r="W92" s="1250"/>
      <c r="X92" s="1250"/>
      <c r="Y92" s="1250"/>
      <c r="Z92" s="1250"/>
      <c r="AA92" s="1250"/>
      <c r="AB92" s="1250"/>
      <c r="AC92" s="1250"/>
      <c r="AD92" s="1250"/>
      <c r="AE92" s="1250"/>
      <c r="AF92" s="1250"/>
      <c r="AG92" s="1250"/>
      <c r="AH92" s="1250"/>
      <c r="AI92" s="1250"/>
      <c r="AJ92" s="1250"/>
      <c r="AK92" s="1250"/>
      <c r="AL92" s="1250"/>
      <c r="AM92" s="1250"/>
      <c r="AN92" s="1250"/>
      <c r="AO92" s="1250"/>
      <c r="AP92" s="1250"/>
      <c r="AQ92" s="1250"/>
      <c r="AR92" s="1250"/>
      <c r="AS92" s="1250"/>
      <c r="AT92" s="1250"/>
      <c r="AU92" s="1250"/>
      <c r="AV92" s="1250"/>
      <c r="AW92" s="1250"/>
      <c r="AX92" s="1250"/>
      <c r="AY92" s="1250"/>
      <c r="AZ92" s="1250"/>
      <c r="BA92" s="1250"/>
      <c r="BB92" s="1250"/>
      <c r="BC92" s="1250"/>
      <c r="BD92" s="1250"/>
      <c r="BE92" s="1250"/>
      <c r="BF92" s="1250"/>
      <c r="BG92" s="1250"/>
      <c r="BH92" s="1250"/>
      <c r="BI92" s="1250"/>
      <c r="BJ92" s="1250"/>
      <c r="BK92" s="1250"/>
      <c r="BL92" s="1250"/>
      <c r="BM92" s="1250"/>
      <c r="BN92" s="1250"/>
      <c r="BO92" s="1250"/>
      <c r="BP92" s="1250"/>
      <c r="BQ92" s="1250"/>
      <c r="BR92" s="1250"/>
      <c r="BS92" s="1250"/>
      <c r="BT92" s="1250"/>
      <c r="BU92" s="1250"/>
      <c r="BV92" s="1250"/>
      <c r="BW92" s="1250"/>
      <c r="BX92" s="1250"/>
      <c r="BY92" s="1250"/>
      <c r="BZ92" s="1250"/>
      <c r="CA92" s="1250"/>
      <c r="CB92" s="1250"/>
      <c r="CC92" s="1250"/>
      <c r="CD92" s="1250"/>
      <c r="CE92" s="1250"/>
      <c r="CF92" s="1250"/>
      <c r="CG92" s="1250"/>
      <c r="CH92" s="1250"/>
      <c r="CI92" s="1250"/>
      <c r="CJ92" s="1250"/>
      <c r="CK92" s="1250"/>
      <c r="CL92" s="1250"/>
      <c r="CM92" s="1250"/>
      <c r="CN92" s="1250"/>
      <c r="CO92" s="1250"/>
      <c r="CP92" s="1250"/>
      <c r="CQ92" s="1250"/>
      <c r="CR92" s="1250"/>
      <c r="CS92" s="1250"/>
      <c r="CT92" s="1250"/>
      <c r="CU92" s="1250"/>
      <c r="CV92" s="1250"/>
      <c r="CW92" s="1250"/>
      <c r="CX92" s="1250"/>
      <c r="CY92" s="1250"/>
      <c r="CZ92" s="1250"/>
      <c r="DA92" s="1250"/>
      <c r="DB92" s="1250"/>
      <c r="DC92" s="1250"/>
      <c r="DD92" s="1250"/>
      <c r="DE92" s="1250"/>
      <c r="DF92" s="1250"/>
      <c r="DG92" s="1250"/>
      <c r="DH92" s="1568"/>
      <c r="DI92" s="1550"/>
      <c r="DJ92" s="1550" t="str">
        <f t="shared" si="2"/>
        <v>Добавить территорию для дифференциации</v>
      </c>
      <c r="DK92" s="1550"/>
      <c r="DL92" s="1550"/>
      <c r="DM92" s="1568">
        <v>0</v>
      </c>
    </row>
    <row r="93" spans="1:117" s="1774" customFormat="1" ht="21" customHeight="1">
      <c r="A93" s="1289" t="s">
        <v>178</v>
      </c>
      <c r="B93" s="1289"/>
      <c r="C93" s="1289"/>
      <c r="D93" s="1289"/>
      <c r="E93" s="5381" t="s">
        <v>93</v>
      </c>
      <c r="F93" s="1289"/>
      <c r="G93" s="1289"/>
      <c r="H93" s="1289"/>
      <c r="I93" s="1289"/>
      <c r="J93" s="1289"/>
      <c r="K93" s="1289"/>
      <c r="L93" s="1295"/>
      <c r="M93" s="1291"/>
      <c r="N93" s="1291"/>
      <c r="O93" s="1291"/>
      <c r="P93" s="2015"/>
      <c r="Q93" s="1747"/>
      <c r="R93" s="291"/>
      <c r="S93" s="2012" t="str">
        <f>INDEX(PT_DIFFERENTIATION_NUM_NTAR,MATCH(A93,PT_DIFFERENTIATION_NTAR_ID,0))</f>
        <v>4</v>
      </c>
      <c r="T93" s="1451" t="s">
        <v>125</v>
      </c>
      <c r="U93" s="237"/>
      <c r="V93" s="5373"/>
      <c r="W93" s="5374"/>
      <c r="X93" s="5374"/>
      <c r="Y93" s="5374"/>
      <c r="Z93" s="5374"/>
      <c r="AA93" s="5374"/>
      <c r="AB93" s="5374"/>
      <c r="AC93" s="5375"/>
      <c r="AD93" s="5373" t="str">
        <f>INDEX(PT_DIFFERENTIATION_NTAR,MATCH(A93,PT_DIFFERENTIATION_NTAR_ID,0))</f>
        <v>Льготные тарифы на тепловую энергию, поставляемую ПАО "ТГК-1" потребителям, расположенным на территории Санкт-Петербурга</v>
      </c>
      <c r="AE93" s="5374"/>
      <c r="AF93" s="5374"/>
      <c r="AG93" s="5374"/>
      <c r="AH93" s="5374"/>
      <c r="AI93" s="5374"/>
      <c r="AJ93" s="5374"/>
      <c r="AK93" s="5374"/>
      <c r="AL93" s="5373"/>
      <c r="AM93" s="5374"/>
      <c r="AN93" s="5374"/>
      <c r="AO93" s="5374"/>
      <c r="AP93" s="5374"/>
      <c r="AQ93" s="5374"/>
      <c r="AR93" s="5374"/>
      <c r="AS93" s="5375"/>
      <c r="AT93" s="5373"/>
      <c r="AU93" s="5374"/>
      <c r="AV93" s="5374"/>
      <c r="AW93" s="5374"/>
      <c r="AX93" s="5374"/>
      <c r="AY93" s="5374"/>
      <c r="AZ93" s="5374"/>
      <c r="BA93" s="5375"/>
      <c r="BB93" s="5373"/>
      <c r="BC93" s="5374"/>
      <c r="BD93" s="5374"/>
      <c r="BE93" s="5374"/>
      <c r="BF93" s="5374"/>
      <c r="BG93" s="5374"/>
      <c r="BH93" s="5374"/>
      <c r="BI93" s="5375"/>
      <c r="BJ93" s="5373"/>
      <c r="BK93" s="5374"/>
      <c r="BL93" s="5374"/>
      <c r="BM93" s="5374"/>
      <c r="BN93" s="5374"/>
      <c r="BO93" s="5374"/>
      <c r="BP93" s="5374"/>
      <c r="BQ93" s="5375"/>
      <c r="BR93" s="5373"/>
      <c r="BS93" s="5374"/>
      <c r="BT93" s="5374"/>
      <c r="BU93" s="5374"/>
      <c r="BV93" s="5374"/>
      <c r="BW93" s="5374"/>
      <c r="BX93" s="5374"/>
      <c r="BY93" s="5375"/>
      <c r="BZ93" s="5373"/>
      <c r="CA93" s="5374"/>
      <c r="CB93" s="5374"/>
      <c r="CC93" s="5374"/>
      <c r="CD93" s="5374"/>
      <c r="CE93" s="5374"/>
      <c r="CF93" s="5374"/>
      <c r="CG93" s="5375"/>
      <c r="CH93" s="5373"/>
      <c r="CI93" s="5374"/>
      <c r="CJ93" s="5374"/>
      <c r="CK93" s="5374"/>
      <c r="CL93" s="5374"/>
      <c r="CM93" s="5374"/>
      <c r="CN93" s="5374"/>
      <c r="CO93" s="5375"/>
      <c r="CP93" s="5373"/>
      <c r="CQ93" s="5374"/>
      <c r="CR93" s="5374"/>
      <c r="CS93" s="5374"/>
      <c r="CT93" s="5374"/>
      <c r="CU93" s="5374"/>
      <c r="CV93" s="5374"/>
      <c r="CW93" s="5375"/>
      <c r="CX93" s="5373"/>
      <c r="CY93" s="5374"/>
      <c r="CZ93" s="5374"/>
      <c r="DA93" s="5374"/>
      <c r="DB93" s="5374"/>
      <c r="DC93" s="5374"/>
      <c r="DD93" s="5374"/>
      <c r="DE93" s="5376"/>
      <c r="DF93" s="5375"/>
      <c r="DG93" s="1184" t="s">
        <v>423</v>
      </c>
      <c r="DH93" s="1568"/>
      <c r="DI93" s="1550"/>
      <c r="DJ93" s="1550" t="str">
        <f t="shared" si="2"/>
        <v>Наименование тарифа</v>
      </c>
      <c r="DK93" s="1550"/>
      <c r="DL93" s="1550"/>
      <c r="DM93" s="1561">
        <v>0</v>
      </c>
    </row>
    <row r="94" spans="1:117" s="1774" customFormat="1" ht="21" customHeight="1">
      <c r="A94" s="1289"/>
      <c r="B94" s="1289" t="s">
        <v>179</v>
      </c>
      <c r="C94" s="1289"/>
      <c r="D94" s="1289"/>
      <c r="E94" s="5382" t="s">
        <v>92</v>
      </c>
      <c r="F94" s="5381">
        <v>1</v>
      </c>
      <c r="G94" s="1289"/>
      <c r="H94" s="1289"/>
      <c r="I94" s="1289"/>
      <c r="J94" s="1289"/>
      <c r="K94" s="1289"/>
      <c r="L94" s="1295"/>
      <c r="M94" s="1291"/>
      <c r="N94" s="1291"/>
      <c r="O94" s="1291"/>
      <c r="P94" s="1999"/>
      <c r="Q94" s="288"/>
      <c r="R94" s="289"/>
      <c r="S94" s="2012" t="str">
        <f>INDEX(PT_DIFFERENTIATION_NUM_TER,MATCH(B94,PT_DIFFERENTIATION_TER_ID,0))</f>
        <v>4.1</v>
      </c>
      <c r="T94" s="1448" t="s">
        <v>424</v>
      </c>
      <c r="U94" s="237"/>
      <c r="V94" s="5373"/>
      <c r="W94" s="5374"/>
      <c r="X94" s="5374"/>
      <c r="Y94" s="5374"/>
      <c r="Z94" s="5374"/>
      <c r="AA94" s="5374"/>
      <c r="AB94" s="5374"/>
      <c r="AC94" s="5375"/>
      <c r="AD94" s="5373" t="str">
        <f>INDEX(PT_DIFFERENTIATION_TER,MATCH(B94,PT_DIFFERENTIATION_TER_ID,0))</f>
        <v>без дифференциации</v>
      </c>
      <c r="AE94" s="5374"/>
      <c r="AF94" s="5374"/>
      <c r="AG94" s="5374"/>
      <c r="AH94" s="5374"/>
      <c r="AI94" s="5374"/>
      <c r="AJ94" s="5374"/>
      <c r="AK94" s="5374"/>
      <c r="AL94" s="5373"/>
      <c r="AM94" s="5374"/>
      <c r="AN94" s="5374"/>
      <c r="AO94" s="5374"/>
      <c r="AP94" s="5374"/>
      <c r="AQ94" s="5374"/>
      <c r="AR94" s="5374"/>
      <c r="AS94" s="5375"/>
      <c r="AT94" s="5373"/>
      <c r="AU94" s="5374"/>
      <c r="AV94" s="5374"/>
      <c r="AW94" s="5374"/>
      <c r="AX94" s="5374"/>
      <c r="AY94" s="5374"/>
      <c r="AZ94" s="5374"/>
      <c r="BA94" s="5375"/>
      <c r="BB94" s="5373"/>
      <c r="BC94" s="5374"/>
      <c r="BD94" s="5374"/>
      <c r="BE94" s="5374"/>
      <c r="BF94" s="5374"/>
      <c r="BG94" s="5374"/>
      <c r="BH94" s="5374"/>
      <c r="BI94" s="5375"/>
      <c r="BJ94" s="5373"/>
      <c r="BK94" s="5374"/>
      <c r="BL94" s="5374"/>
      <c r="BM94" s="5374"/>
      <c r="BN94" s="5374"/>
      <c r="BO94" s="5374"/>
      <c r="BP94" s="5374"/>
      <c r="BQ94" s="5375"/>
      <c r="BR94" s="5373"/>
      <c r="BS94" s="5374"/>
      <c r="BT94" s="5374"/>
      <c r="BU94" s="5374"/>
      <c r="BV94" s="5374"/>
      <c r="BW94" s="5374"/>
      <c r="BX94" s="5374"/>
      <c r="BY94" s="5375"/>
      <c r="BZ94" s="5373"/>
      <c r="CA94" s="5374"/>
      <c r="CB94" s="5374"/>
      <c r="CC94" s="5374"/>
      <c r="CD94" s="5374"/>
      <c r="CE94" s="5374"/>
      <c r="CF94" s="5374"/>
      <c r="CG94" s="5375"/>
      <c r="CH94" s="5373"/>
      <c r="CI94" s="5374"/>
      <c r="CJ94" s="5374"/>
      <c r="CK94" s="5374"/>
      <c r="CL94" s="5374"/>
      <c r="CM94" s="5374"/>
      <c r="CN94" s="5374"/>
      <c r="CO94" s="5375"/>
      <c r="CP94" s="5373"/>
      <c r="CQ94" s="5374"/>
      <c r="CR94" s="5374"/>
      <c r="CS94" s="5374"/>
      <c r="CT94" s="5374"/>
      <c r="CU94" s="5374"/>
      <c r="CV94" s="5374"/>
      <c r="CW94" s="5375"/>
      <c r="CX94" s="5373"/>
      <c r="CY94" s="5374"/>
      <c r="CZ94" s="5374"/>
      <c r="DA94" s="5374"/>
      <c r="DB94" s="5374"/>
      <c r="DC94" s="5374"/>
      <c r="DD94" s="5374"/>
      <c r="DE94" s="5376"/>
      <c r="DF94" s="5375"/>
      <c r="DG94" s="1184" t="s">
        <v>425</v>
      </c>
      <c r="DH94" s="1568"/>
      <c r="DI94" s="1550"/>
      <c r="DJ94" s="1550" t="str">
        <f t="shared" si="2"/>
        <v>Территория действия тарифа</v>
      </c>
      <c r="DK94" s="1550"/>
      <c r="DL94" s="1550"/>
      <c r="DM94" s="1561">
        <v>0</v>
      </c>
    </row>
    <row r="95" spans="1:117" s="1774" customFormat="1" ht="23.25" customHeight="1">
      <c r="A95" s="1289"/>
      <c r="B95" s="1289"/>
      <c r="C95" s="1289" t="s">
        <v>180</v>
      </c>
      <c r="D95" s="1289"/>
      <c r="E95" s="5382" t="s">
        <v>92</v>
      </c>
      <c r="F95" s="5382"/>
      <c r="G95" s="5381">
        <v>1</v>
      </c>
      <c r="H95" s="1289"/>
      <c r="I95" s="1289"/>
      <c r="J95" s="1289"/>
      <c r="K95" s="1289"/>
      <c r="L95" s="1295"/>
      <c r="M95" s="1291"/>
      <c r="N95" s="1291"/>
      <c r="O95" s="1291"/>
      <c r="P95" s="290"/>
      <c r="Q95" s="288"/>
      <c r="R95" s="289"/>
      <c r="S95" s="2012" t="str">
        <f>INDEX(PT_DIFFERENTIATION_NUM_CS,MATCH(C95,PT_DIFFERENTIATION_CS_ID,0))</f>
        <v>4.1.1</v>
      </c>
      <c r="T95" s="246" t="s">
        <v>426</v>
      </c>
      <c r="U95" s="237"/>
      <c r="V95" s="5373"/>
      <c r="W95" s="5374"/>
      <c r="X95" s="5374"/>
      <c r="Y95" s="5374"/>
      <c r="Z95" s="5374"/>
      <c r="AA95" s="5374"/>
      <c r="AB95" s="5374"/>
      <c r="AC95" s="5375"/>
      <c r="AD95" s="5373" t="str">
        <f>INDEX(PT_DIFFERENTIATION_CS,MATCH(C95,PT_DIFFERENTIATION_CS_ID,0))</f>
        <v>без дифференциации</v>
      </c>
      <c r="AE95" s="5374"/>
      <c r="AF95" s="5374"/>
      <c r="AG95" s="5374"/>
      <c r="AH95" s="5374"/>
      <c r="AI95" s="5374"/>
      <c r="AJ95" s="5374"/>
      <c r="AK95" s="5374"/>
      <c r="AL95" s="5373"/>
      <c r="AM95" s="5374"/>
      <c r="AN95" s="5374"/>
      <c r="AO95" s="5374"/>
      <c r="AP95" s="5374"/>
      <c r="AQ95" s="5374"/>
      <c r="AR95" s="5374"/>
      <c r="AS95" s="5375"/>
      <c r="AT95" s="5373"/>
      <c r="AU95" s="5374"/>
      <c r="AV95" s="5374"/>
      <c r="AW95" s="5374"/>
      <c r="AX95" s="5374"/>
      <c r="AY95" s="5374"/>
      <c r="AZ95" s="5374"/>
      <c r="BA95" s="5375"/>
      <c r="BB95" s="5373"/>
      <c r="BC95" s="5374"/>
      <c r="BD95" s="5374"/>
      <c r="BE95" s="5374"/>
      <c r="BF95" s="5374"/>
      <c r="BG95" s="5374"/>
      <c r="BH95" s="5374"/>
      <c r="BI95" s="5375"/>
      <c r="BJ95" s="5373"/>
      <c r="BK95" s="5374"/>
      <c r="BL95" s="5374"/>
      <c r="BM95" s="5374"/>
      <c r="BN95" s="5374"/>
      <c r="BO95" s="5374"/>
      <c r="BP95" s="5374"/>
      <c r="BQ95" s="5375"/>
      <c r="BR95" s="5373"/>
      <c r="BS95" s="5374"/>
      <c r="BT95" s="5374"/>
      <c r="BU95" s="5374"/>
      <c r="BV95" s="5374"/>
      <c r="BW95" s="5374"/>
      <c r="BX95" s="5374"/>
      <c r="BY95" s="5375"/>
      <c r="BZ95" s="5373"/>
      <c r="CA95" s="5374"/>
      <c r="CB95" s="5374"/>
      <c r="CC95" s="5374"/>
      <c r="CD95" s="5374"/>
      <c r="CE95" s="5374"/>
      <c r="CF95" s="5374"/>
      <c r="CG95" s="5375"/>
      <c r="CH95" s="5373"/>
      <c r="CI95" s="5374"/>
      <c r="CJ95" s="5374"/>
      <c r="CK95" s="5374"/>
      <c r="CL95" s="5374"/>
      <c r="CM95" s="5374"/>
      <c r="CN95" s="5374"/>
      <c r="CO95" s="5375"/>
      <c r="CP95" s="5373"/>
      <c r="CQ95" s="5374"/>
      <c r="CR95" s="5374"/>
      <c r="CS95" s="5374"/>
      <c r="CT95" s="5374"/>
      <c r="CU95" s="5374"/>
      <c r="CV95" s="5374"/>
      <c r="CW95" s="5375"/>
      <c r="CX95" s="5373"/>
      <c r="CY95" s="5374"/>
      <c r="CZ95" s="5374"/>
      <c r="DA95" s="5374"/>
      <c r="DB95" s="5374"/>
      <c r="DC95" s="5374"/>
      <c r="DD95" s="5374"/>
      <c r="DE95" s="5376"/>
      <c r="DF95" s="5375"/>
      <c r="DG95" s="1184" t="s">
        <v>427</v>
      </c>
      <c r="DH95" s="1568"/>
      <c r="DI95" s="1550"/>
      <c r="DJ95" s="1550" t="str">
        <f t="shared" si="2"/>
        <v xml:space="preserve">Наименование системы теплоснабжения </v>
      </c>
      <c r="DK95" s="1550"/>
      <c r="DL95" s="1550"/>
      <c r="DM95" s="1561">
        <v>0</v>
      </c>
    </row>
    <row r="96" spans="1:117" s="1774" customFormat="1" ht="21" customHeight="1">
      <c r="A96" s="1289"/>
      <c r="B96" s="1289"/>
      <c r="C96" s="1289"/>
      <c r="D96" s="1289" t="s">
        <v>181</v>
      </c>
      <c r="E96" s="5382" t="s">
        <v>92</v>
      </c>
      <c r="F96" s="5382"/>
      <c r="G96" s="5382"/>
      <c r="H96" s="5381">
        <v>1</v>
      </c>
      <c r="I96" s="1289"/>
      <c r="J96" s="1289"/>
      <c r="K96" s="1289"/>
      <c r="L96" s="1295"/>
      <c r="M96" s="1291"/>
      <c r="N96" s="1291"/>
      <c r="O96" s="1291"/>
      <c r="P96" s="290"/>
      <c r="Q96" s="288"/>
      <c r="R96" s="289"/>
      <c r="S96" s="2012" t="str">
        <f>INDEX(PT_DIFFERENTIATION_NUM_IST_TE,MATCH(D96,PT_DIFFERENTIATION_IST_TE_ID,0))</f>
        <v>4.1.1.1</v>
      </c>
      <c r="T96" s="247" t="s">
        <v>428</v>
      </c>
      <c r="U96" s="237"/>
      <c r="V96" s="5373"/>
      <c r="W96" s="5374"/>
      <c r="X96" s="5374"/>
      <c r="Y96" s="5374"/>
      <c r="Z96" s="5374"/>
      <c r="AA96" s="5374"/>
      <c r="AB96" s="5374"/>
      <c r="AC96" s="5375"/>
      <c r="AD96" s="5373" t="str">
        <f>INDEX(PT_DIFFERENTIATION_IST_TE,MATCH(D96,PT_DIFFERENTIATION_IST_TE_ID,0))</f>
        <v>без дифференциации</v>
      </c>
      <c r="AE96" s="5374"/>
      <c r="AF96" s="5374"/>
      <c r="AG96" s="5374"/>
      <c r="AH96" s="5374"/>
      <c r="AI96" s="5374"/>
      <c r="AJ96" s="5374"/>
      <c r="AK96" s="5374"/>
      <c r="AL96" s="5373"/>
      <c r="AM96" s="5374"/>
      <c r="AN96" s="5374"/>
      <c r="AO96" s="5374"/>
      <c r="AP96" s="5374"/>
      <c r="AQ96" s="5374"/>
      <c r="AR96" s="5374"/>
      <c r="AS96" s="5375"/>
      <c r="AT96" s="5373"/>
      <c r="AU96" s="5374"/>
      <c r="AV96" s="5374"/>
      <c r="AW96" s="5374"/>
      <c r="AX96" s="5374"/>
      <c r="AY96" s="5374"/>
      <c r="AZ96" s="5374"/>
      <c r="BA96" s="5375"/>
      <c r="BB96" s="5373"/>
      <c r="BC96" s="5374"/>
      <c r="BD96" s="5374"/>
      <c r="BE96" s="5374"/>
      <c r="BF96" s="5374"/>
      <c r="BG96" s="5374"/>
      <c r="BH96" s="5374"/>
      <c r="BI96" s="5375"/>
      <c r="BJ96" s="5373"/>
      <c r="BK96" s="5374"/>
      <c r="BL96" s="5374"/>
      <c r="BM96" s="5374"/>
      <c r="BN96" s="5374"/>
      <c r="BO96" s="5374"/>
      <c r="BP96" s="5374"/>
      <c r="BQ96" s="5375"/>
      <c r="BR96" s="5373"/>
      <c r="BS96" s="5374"/>
      <c r="BT96" s="5374"/>
      <c r="BU96" s="5374"/>
      <c r="BV96" s="5374"/>
      <c r="BW96" s="5374"/>
      <c r="BX96" s="5374"/>
      <c r="BY96" s="5375"/>
      <c r="BZ96" s="5373"/>
      <c r="CA96" s="5374"/>
      <c r="CB96" s="5374"/>
      <c r="CC96" s="5374"/>
      <c r="CD96" s="5374"/>
      <c r="CE96" s="5374"/>
      <c r="CF96" s="5374"/>
      <c r="CG96" s="5375"/>
      <c r="CH96" s="5373"/>
      <c r="CI96" s="5374"/>
      <c r="CJ96" s="5374"/>
      <c r="CK96" s="5374"/>
      <c r="CL96" s="5374"/>
      <c r="CM96" s="5374"/>
      <c r="CN96" s="5374"/>
      <c r="CO96" s="5375"/>
      <c r="CP96" s="5373"/>
      <c r="CQ96" s="5374"/>
      <c r="CR96" s="5374"/>
      <c r="CS96" s="5374"/>
      <c r="CT96" s="5374"/>
      <c r="CU96" s="5374"/>
      <c r="CV96" s="5374"/>
      <c r="CW96" s="5375"/>
      <c r="CX96" s="5373"/>
      <c r="CY96" s="5374"/>
      <c r="CZ96" s="5374"/>
      <c r="DA96" s="5374"/>
      <c r="DB96" s="5374"/>
      <c r="DC96" s="5374"/>
      <c r="DD96" s="5374"/>
      <c r="DE96" s="5376"/>
      <c r="DF96" s="5375"/>
      <c r="DG96" s="1184" t="s">
        <v>429</v>
      </c>
      <c r="DH96" s="1568"/>
      <c r="DI96" s="1550"/>
      <c r="DJ96" s="1550" t="str">
        <f t="shared" si="2"/>
        <v xml:space="preserve">Источник тепловой энергии  </v>
      </c>
      <c r="DK96" s="1550"/>
      <c r="DL96" s="1550"/>
      <c r="DM96" s="1561">
        <v>0</v>
      </c>
    </row>
    <row r="97" spans="1:117" s="1774" customFormat="1" ht="47.25" customHeight="1">
      <c r="A97" s="1289"/>
      <c r="B97" s="1289"/>
      <c r="C97" s="1289"/>
      <c r="D97" s="1289"/>
      <c r="E97" s="5382" t="s">
        <v>92</v>
      </c>
      <c r="F97" s="5382"/>
      <c r="G97" s="5382"/>
      <c r="H97" s="5382"/>
      <c r="I97" s="5383" t="str">
        <f>S96&amp;".1"</f>
        <v>4.1.1.1.1</v>
      </c>
      <c r="J97" s="1289"/>
      <c r="K97" s="1289"/>
      <c r="L97" s="1295" t="s">
        <v>430</v>
      </c>
      <c r="M97" s="1292"/>
      <c r="N97" s="1701"/>
      <c r="O97" s="1701"/>
      <c r="P97" s="5385">
        <v>1</v>
      </c>
      <c r="Q97" s="2014"/>
      <c r="R97" s="292"/>
      <c r="S97" s="2012" t="str">
        <f>$I97</f>
        <v>4.1.1.1.1</v>
      </c>
      <c r="T97" s="222" t="s">
        <v>431</v>
      </c>
      <c r="U97" s="237"/>
      <c r="V97" s="5366"/>
      <c r="W97" s="5367"/>
      <c r="X97" s="5367"/>
      <c r="Y97" s="5367"/>
      <c r="Z97" s="5367"/>
      <c r="AA97" s="5367"/>
      <c r="AB97" s="5367"/>
      <c r="AC97" s="5368"/>
      <c r="AD97" s="5366" t="s">
        <v>472</v>
      </c>
      <c r="AE97" s="5367"/>
      <c r="AF97" s="5367"/>
      <c r="AG97" s="5367"/>
      <c r="AH97" s="5367"/>
      <c r="AI97" s="5367"/>
      <c r="AJ97" s="5367"/>
      <c r="AK97" s="5367"/>
      <c r="AL97" s="5366"/>
      <c r="AM97" s="5367"/>
      <c r="AN97" s="5367"/>
      <c r="AO97" s="5367"/>
      <c r="AP97" s="5367"/>
      <c r="AQ97" s="5367"/>
      <c r="AR97" s="5367"/>
      <c r="AS97" s="5368"/>
      <c r="AT97" s="5366"/>
      <c r="AU97" s="5367"/>
      <c r="AV97" s="5367"/>
      <c r="AW97" s="5367"/>
      <c r="AX97" s="5367"/>
      <c r="AY97" s="5367"/>
      <c r="AZ97" s="5367"/>
      <c r="BA97" s="5368"/>
      <c r="BB97" s="5366"/>
      <c r="BC97" s="5367"/>
      <c r="BD97" s="5367"/>
      <c r="BE97" s="5367"/>
      <c r="BF97" s="5367"/>
      <c r="BG97" s="5367"/>
      <c r="BH97" s="5367"/>
      <c r="BI97" s="5368"/>
      <c r="BJ97" s="5366"/>
      <c r="BK97" s="5367"/>
      <c r="BL97" s="5367"/>
      <c r="BM97" s="5367"/>
      <c r="BN97" s="5367"/>
      <c r="BO97" s="5367"/>
      <c r="BP97" s="5367"/>
      <c r="BQ97" s="5368"/>
      <c r="BR97" s="5366"/>
      <c r="BS97" s="5367"/>
      <c r="BT97" s="5367"/>
      <c r="BU97" s="5367"/>
      <c r="BV97" s="5367"/>
      <c r="BW97" s="5367"/>
      <c r="BX97" s="5367"/>
      <c r="BY97" s="5368"/>
      <c r="BZ97" s="5366"/>
      <c r="CA97" s="5367"/>
      <c r="CB97" s="5367"/>
      <c r="CC97" s="5367"/>
      <c r="CD97" s="5367"/>
      <c r="CE97" s="5367"/>
      <c r="CF97" s="5367"/>
      <c r="CG97" s="5368"/>
      <c r="CH97" s="5366"/>
      <c r="CI97" s="5367"/>
      <c r="CJ97" s="5367"/>
      <c r="CK97" s="5367"/>
      <c r="CL97" s="5367"/>
      <c r="CM97" s="5367"/>
      <c r="CN97" s="5367"/>
      <c r="CO97" s="5368"/>
      <c r="CP97" s="5366"/>
      <c r="CQ97" s="5367"/>
      <c r="CR97" s="5367"/>
      <c r="CS97" s="5367"/>
      <c r="CT97" s="5367"/>
      <c r="CU97" s="5367"/>
      <c r="CV97" s="5367"/>
      <c r="CW97" s="5368"/>
      <c r="CX97" s="5366"/>
      <c r="CY97" s="5367"/>
      <c r="CZ97" s="5367"/>
      <c r="DA97" s="5367"/>
      <c r="DB97" s="5367"/>
      <c r="DC97" s="5367"/>
      <c r="DD97" s="5367"/>
      <c r="DE97" s="5369"/>
      <c r="DF97" s="5368"/>
      <c r="DG97" s="1184" t="s">
        <v>432</v>
      </c>
      <c r="DH97" s="1568"/>
      <c r="DI97" s="1550"/>
      <c r="DJ97" s="1550" t="str">
        <f t="shared" si="2"/>
        <v>Схема подключения теплопотребляющей установки к коллектору источника тепловой энергии</v>
      </c>
      <c r="DK97" s="1550"/>
      <c r="DL97" s="1550"/>
      <c r="DM97" s="1561">
        <v>0</v>
      </c>
    </row>
    <row r="98" spans="1:117" s="1774" customFormat="1" ht="21" customHeight="1">
      <c r="A98" s="1289"/>
      <c r="B98" s="1289"/>
      <c r="C98" s="1289"/>
      <c r="D98" s="1289"/>
      <c r="E98" s="5382" t="s">
        <v>92</v>
      </c>
      <c r="F98" s="5382"/>
      <c r="G98" s="5382"/>
      <c r="H98" s="5382"/>
      <c r="I98" s="5384"/>
      <c r="J98" s="5383" t="str">
        <f>I97&amp;".1"</f>
        <v>4.1.1.1.1.1</v>
      </c>
      <c r="K98" s="1289"/>
      <c r="L98" s="1295" t="s">
        <v>433</v>
      </c>
      <c r="M98" s="1292"/>
      <c r="N98" s="1292"/>
      <c r="O98" s="1701"/>
      <c r="P98" s="5385"/>
      <c r="Q98" s="5385">
        <v>1</v>
      </c>
      <c r="R98" s="293"/>
      <c r="S98" s="2012" t="str">
        <f>$J98</f>
        <v>4.1.1.1.1.1</v>
      </c>
      <c r="T98" s="223" t="s">
        <v>434</v>
      </c>
      <c r="U98" s="237"/>
      <c r="V98" s="5366"/>
      <c r="W98" s="5367"/>
      <c r="X98" s="5367"/>
      <c r="Y98" s="5367"/>
      <c r="Z98" s="5367"/>
      <c r="AA98" s="5367"/>
      <c r="AB98" s="5367"/>
      <c r="AC98" s="5368"/>
      <c r="AD98" s="5366" t="s">
        <v>472</v>
      </c>
      <c r="AE98" s="5367"/>
      <c r="AF98" s="5367"/>
      <c r="AG98" s="5367"/>
      <c r="AH98" s="5367"/>
      <c r="AI98" s="5367"/>
      <c r="AJ98" s="5367"/>
      <c r="AK98" s="5367"/>
      <c r="AL98" s="5366"/>
      <c r="AM98" s="5367"/>
      <c r="AN98" s="5367"/>
      <c r="AO98" s="5367"/>
      <c r="AP98" s="5367"/>
      <c r="AQ98" s="5367"/>
      <c r="AR98" s="5367"/>
      <c r="AS98" s="5368"/>
      <c r="AT98" s="5366"/>
      <c r="AU98" s="5367"/>
      <c r="AV98" s="5367"/>
      <c r="AW98" s="5367"/>
      <c r="AX98" s="5367"/>
      <c r="AY98" s="5367"/>
      <c r="AZ98" s="5367"/>
      <c r="BA98" s="5368"/>
      <c r="BB98" s="5366"/>
      <c r="BC98" s="5367"/>
      <c r="BD98" s="5367"/>
      <c r="BE98" s="5367"/>
      <c r="BF98" s="5367"/>
      <c r="BG98" s="5367"/>
      <c r="BH98" s="5367"/>
      <c r="BI98" s="5368"/>
      <c r="BJ98" s="5366"/>
      <c r="BK98" s="5367"/>
      <c r="BL98" s="5367"/>
      <c r="BM98" s="5367"/>
      <c r="BN98" s="5367"/>
      <c r="BO98" s="5367"/>
      <c r="BP98" s="5367"/>
      <c r="BQ98" s="5368"/>
      <c r="BR98" s="5366"/>
      <c r="BS98" s="5367"/>
      <c r="BT98" s="5367"/>
      <c r="BU98" s="5367"/>
      <c r="BV98" s="5367"/>
      <c r="BW98" s="5367"/>
      <c r="BX98" s="5367"/>
      <c r="BY98" s="5368"/>
      <c r="BZ98" s="5366"/>
      <c r="CA98" s="5367"/>
      <c r="CB98" s="5367"/>
      <c r="CC98" s="5367"/>
      <c r="CD98" s="5367"/>
      <c r="CE98" s="5367"/>
      <c r="CF98" s="5367"/>
      <c r="CG98" s="5368"/>
      <c r="CH98" s="5366"/>
      <c r="CI98" s="5367"/>
      <c r="CJ98" s="5367"/>
      <c r="CK98" s="5367"/>
      <c r="CL98" s="5367"/>
      <c r="CM98" s="5367"/>
      <c r="CN98" s="5367"/>
      <c r="CO98" s="5368"/>
      <c r="CP98" s="5366"/>
      <c r="CQ98" s="5367"/>
      <c r="CR98" s="5367"/>
      <c r="CS98" s="5367"/>
      <c r="CT98" s="5367"/>
      <c r="CU98" s="5367"/>
      <c r="CV98" s="5367"/>
      <c r="CW98" s="5368"/>
      <c r="CX98" s="5366"/>
      <c r="CY98" s="5367"/>
      <c r="CZ98" s="5367"/>
      <c r="DA98" s="5367"/>
      <c r="DB98" s="5367"/>
      <c r="DC98" s="5367"/>
      <c r="DD98" s="5367"/>
      <c r="DE98" s="5369"/>
      <c r="DF98" s="5368"/>
      <c r="DG98" s="1184" t="s">
        <v>435</v>
      </c>
      <c r="DH98" s="1568"/>
      <c r="DI98" s="1550"/>
      <c r="DJ98" s="1550" t="str">
        <f t="shared" si="2"/>
        <v>Группа потребителей</v>
      </c>
      <c r="DK98" s="1550"/>
      <c r="DL98" s="1550"/>
      <c r="DM98" s="1561">
        <v>0</v>
      </c>
    </row>
    <row r="99" spans="1:117" s="1774" customFormat="1" ht="21" customHeight="1">
      <c r="A99" s="1289"/>
      <c r="B99" s="1289"/>
      <c r="C99" s="1289"/>
      <c r="D99" s="1289"/>
      <c r="E99" s="5382" t="s">
        <v>92</v>
      </c>
      <c r="F99" s="5382"/>
      <c r="G99" s="5382"/>
      <c r="H99" s="5382"/>
      <c r="I99" s="5384"/>
      <c r="J99" s="5384"/>
      <c r="K99" s="5383" t="str">
        <f>J98&amp;".1"</f>
        <v>4.1.1.1.1.1.1</v>
      </c>
      <c r="L99" s="1295" t="s">
        <v>436</v>
      </c>
      <c r="M99" s="1292"/>
      <c r="N99" s="1292"/>
      <c r="O99" s="1292"/>
      <c r="P99" s="5385"/>
      <c r="Q99" s="5385"/>
      <c r="R99" s="293">
        <v>1</v>
      </c>
      <c r="S99" s="2012" t="str">
        <f>$K99</f>
        <v>4.1.1.1.1.1.1</v>
      </c>
      <c r="T99" s="1273" t="s">
        <v>473</v>
      </c>
      <c r="U99" s="237"/>
      <c r="V99" s="1286"/>
      <c r="W99" s="1286"/>
      <c r="X99" s="1286"/>
      <c r="Y99" s="1287"/>
      <c r="Z99" s="5378"/>
      <c r="AA99" s="5377" t="s">
        <v>65</v>
      </c>
      <c r="AB99" s="5378"/>
      <c r="AC99" s="5377" t="s">
        <v>65</v>
      </c>
      <c r="AD99" s="687">
        <v>2111.4</v>
      </c>
      <c r="AE99" s="262"/>
      <c r="AF99" s="687"/>
      <c r="AG99" s="1183"/>
      <c r="AH99" s="5386">
        <v>45292</v>
      </c>
      <c r="AI99" s="5245" t="s">
        <v>65</v>
      </c>
      <c r="AJ99" s="5386">
        <v>45473</v>
      </c>
      <c r="AK99" s="5245" t="s">
        <v>65</v>
      </c>
      <c r="AL99" s="687">
        <v>2111.4</v>
      </c>
      <c r="AM99" s="262"/>
      <c r="AN99" s="687"/>
      <c r="AO99" s="1183"/>
      <c r="AP99" s="5386">
        <v>45474</v>
      </c>
      <c r="AQ99" s="5245" t="s">
        <v>65</v>
      </c>
      <c r="AR99" s="5386">
        <v>45657</v>
      </c>
      <c r="AS99" s="5245" t="s">
        <v>19</v>
      </c>
      <c r="AT99" s="1286"/>
      <c r="AU99" s="1286"/>
      <c r="AV99" s="1286"/>
      <c r="AW99" s="1287"/>
      <c r="AX99" s="5378"/>
      <c r="AY99" s="5377" t="s">
        <v>65</v>
      </c>
      <c r="AZ99" s="5378"/>
      <c r="BA99" s="5377" t="s">
        <v>65</v>
      </c>
      <c r="BB99" s="1286"/>
      <c r="BC99" s="1286"/>
      <c r="BD99" s="1286"/>
      <c r="BE99" s="1287"/>
      <c r="BF99" s="5378"/>
      <c r="BG99" s="5377" t="s">
        <v>65</v>
      </c>
      <c r="BH99" s="5378"/>
      <c r="BI99" s="5377" t="s">
        <v>65</v>
      </c>
      <c r="BJ99" s="1286"/>
      <c r="BK99" s="1286"/>
      <c r="BL99" s="1286"/>
      <c r="BM99" s="1287"/>
      <c r="BN99" s="5378"/>
      <c r="BO99" s="5377" t="s">
        <v>65</v>
      </c>
      <c r="BP99" s="5378"/>
      <c r="BQ99" s="5377" t="s">
        <v>65</v>
      </c>
      <c r="BR99" s="1286"/>
      <c r="BS99" s="1286"/>
      <c r="BT99" s="1286"/>
      <c r="BU99" s="1287"/>
      <c r="BV99" s="5378"/>
      <c r="BW99" s="5377" t="s">
        <v>65</v>
      </c>
      <c r="BX99" s="5378"/>
      <c r="BY99" s="5377" t="s">
        <v>65</v>
      </c>
      <c r="BZ99" s="1286"/>
      <c r="CA99" s="1286"/>
      <c r="CB99" s="1286"/>
      <c r="CC99" s="1287"/>
      <c r="CD99" s="5378"/>
      <c r="CE99" s="5377" t="s">
        <v>65</v>
      </c>
      <c r="CF99" s="5378"/>
      <c r="CG99" s="5377" t="s">
        <v>65</v>
      </c>
      <c r="CH99" s="1286"/>
      <c r="CI99" s="1286"/>
      <c r="CJ99" s="1286"/>
      <c r="CK99" s="1287"/>
      <c r="CL99" s="5378"/>
      <c r="CM99" s="5377" t="s">
        <v>65</v>
      </c>
      <c r="CN99" s="5378"/>
      <c r="CO99" s="5377" t="s">
        <v>65</v>
      </c>
      <c r="CP99" s="1286"/>
      <c r="CQ99" s="1286"/>
      <c r="CR99" s="1286"/>
      <c r="CS99" s="1287"/>
      <c r="CT99" s="5378"/>
      <c r="CU99" s="5377" t="s">
        <v>65</v>
      </c>
      <c r="CV99" s="5378"/>
      <c r="CW99" s="5377" t="s">
        <v>65</v>
      </c>
      <c r="CX99" s="1286"/>
      <c r="CY99" s="1286"/>
      <c r="CZ99" s="1286"/>
      <c r="DA99" s="1287"/>
      <c r="DB99" s="5378"/>
      <c r="DC99" s="5377" t="s">
        <v>65</v>
      </c>
      <c r="DD99" s="5378"/>
      <c r="DE99" s="5414" t="s">
        <v>65</v>
      </c>
      <c r="DF99" s="262"/>
      <c r="DG99" s="5405" t="s">
        <v>437</v>
      </c>
      <c r="DH99" s="1568" t="e">
        <f ca="1">STRCHECKDATE(V100:DF100)</f>
        <v>#NAME?</v>
      </c>
      <c r="DI99" s="1550"/>
      <c r="DJ99" s="1550" t="str">
        <f t="shared" si="2"/>
        <v>вода</v>
      </c>
      <c r="DK99" s="1550"/>
      <c r="DL99" s="1550"/>
      <c r="DM99" s="1561">
        <v>0</v>
      </c>
    </row>
    <row r="100" spans="1:117" s="1774" customFormat="1" ht="0.75" customHeight="1">
      <c r="A100" s="1289"/>
      <c r="B100" s="1289"/>
      <c r="C100" s="1289"/>
      <c r="D100" s="1289"/>
      <c r="E100" s="5382" t="s">
        <v>92</v>
      </c>
      <c r="F100" s="5382"/>
      <c r="G100" s="5382"/>
      <c r="H100" s="5382"/>
      <c r="I100" s="5384"/>
      <c r="J100" s="5384"/>
      <c r="K100" s="5383"/>
      <c r="L100" s="1295"/>
      <c r="M100" s="1292"/>
      <c r="N100" s="1292"/>
      <c r="O100" s="1292"/>
      <c r="P100" s="5385"/>
      <c r="Q100" s="5385"/>
      <c r="R100" s="293"/>
      <c r="S100" s="2019"/>
      <c r="T100" s="237"/>
      <c r="U100" s="237"/>
      <c r="V100" s="1286"/>
      <c r="W100" s="1286"/>
      <c r="X100" s="1286"/>
      <c r="Y100" s="265" t="str">
        <f>Z99&amp;"-"&amp;AB99</f>
        <v>-</v>
      </c>
      <c r="Z100" s="5377"/>
      <c r="AA100" s="5377"/>
      <c r="AB100" s="5377"/>
      <c r="AC100" s="5377"/>
      <c r="AD100" s="262"/>
      <c r="AE100" s="262"/>
      <c r="AF100" s="262"/>
      <c r="AG100" s="265" t="str">
        <f>AH99&amp;"-"&amp;AJ99</f>
        <v>45292-45473</v>
      </c>
      <c r="AH100" s="5387"/>
      <c r="AI100" s="5245"/>
      <c r="AJ100" s="5387"/>
      <c r="AK100" s="5245"/>
      <c r="AL100" s="262"/>
      <c r="AM100" s="262"/>
      <c r="AN100" s="262"/>
      <c r="AO100" s="265" t="str">
        <f>AP99&amp;"-"&amp;AR99</f>
        <v>45474-45657</v>
      </c>
      <c r="AP100" s="5387"/>
      <c r="AQ100" s="5245"/>
      <c r="AR100" s="5387"/>
      <c r="AS100" s="5245"/>
      <c r="AT100" s="1286"/>
      <c r="AU100" s="1286"/>
      <c r="AV100" s="1286"/>
      <c r="AW100" s="265" t="str">
        <f>AX99&amp;"-"&amp;AZ99</f>
        <v>-</v>
      </c>
      <c r="AX100" s="5377"/>
      <c r="AY100" s="5377"/>
      <c r="AZ100" s="5377"/>
      <c r="BA100" s="5377"/>
      <c r="BB100" s="1286"/>
      <c r="BC100" s="1286"/>
      <c r="BD100" s="1286"/>
      <c r="BE100" s="265" t="str">
        <f>BF99&amp;"-"&amp;BH99</f>
        <v>-</v>
      </c>
      <c r="BF100" s="5377"/>
      <c r="BG100" s="5377"/>
      <c r="BH100" s="5377"/>
      <c r="BI100" s="5377"/>
      <c r="BJ100" s="1286"/>
      <c r="BK100" s="1286"/>
      <c r="BL100" s="1286"/>
      <c r="BM100" s="265" t="str">
        <f>BN99&amp;"-"&amp;BP99</f>
        <v>-</v>
      </c>
      <c r="BN100" s="5377"/>
      <c r="BO100" s="5377"/>
      <c r="BP100" s="5377"/>
      <c r="BQ100" s="5377"/>
      <c r="BR100" s="1286"/>
      <c r="BS100" s="1286"/>
      <c r="BT100" s="1286"/>
      <c r="BU100" s="265" t="str">
        <f>BV99&amp;"-"&amp;BX99</f>
        <v>-</v>
      </c>
      <c r="BV100" s="5377"/>
      <c r="BW100" s="5377"/>
      <c r="BX100" s="5377"/>
      <c r="BY100" s="5377"/>
      <c r="BZ100" s="1286"/>
      <c r="CA100" s="1286"/>
      <c r="CB100" s="1286"/>
      <c r="CC100" s="265" t="str">
        <f>CD99&amp;"-"&amp;CF99</f>
        <v>-</v>
      </c>
      <c r="CD100" s="5377"/>
      <c r="CE100" s="5377"/>
      <c r="CF100" s="5377"/>
      <c r="CG100" s="5377"/>
      <c r="CH100" s="1286"/>
      <c r="CI100" s="1286"/>
      <c r="CJ100" s="1286"/>
      <c r="CK100" s="265" t="str">
        <f>CL99&amp;"-"&amp;CN99</f>
        <v>-</v>
      </c>
      <c r="CL100" s="5377"/>
      <c r="CM100" s="5377"/>
      <c r="CN100" s="5377"/>
      <c r="CO100" s="5377"/>
      <c r="CP100" s="1286"/>
      <c r="CQ100" s="1286"/>
      <c r="CR100" s="1286"/>
      <c r="CS100" s="265" t="str">
        <f>CT99&amp;"-"&amp;CV99</f>
        <v>-</v>
      </c>
      <c r="CT100" s="5377"/>
      <c r="CU100" s="5377"/>
      <c r="CV100" s="5377"/>
      <c r="CW100" s="5377"/>
      <c r="CX100" s="1286"/>
      <c r="CY100" s="1286"/>
      <c r="CZ100" s="1286"/>
      <c r="DA100" s="265" t="str">
        <f>DB99&amp;"-"&amp;DD99</f>
        <v>-</v>
      </c>
      <c r="DB100" s="5377"/>
      <c r="DC100" s="5377"/>
      <c r="DD100" s="5377"/>
      <c r="DE100" s="5377"/>
      <c r="DF100" s="262"/>
      <c r="DG100" s="5406"/>
      <c r="DH100" s="1568"/>
      <c r="DI100" s="1550"/>
      <c r="DJ100" s="1550" t="str">
        <f t="shared" si="2"/>
        <v/>
      </c>
      <c r="DK100" s="1550"/>
      <c r="DL100" s="1550"/>
      <c r="DM100" s="1561">
        <v>0</v>
      </c>
    </row>
    <row r="101" spans="1:117" s="1774" customFormat="1" ht="15" customHeight="1">
      <c r="A101" s="1289"/>
      <c r="B101" s="1289"/>
      <c r="C101" s="1289"/>
      <c r="D101" s="1289"/>
      <c r="E101" s="5382" t="s">
        <v>92</v>
      </c>
      <c r="F101" s="5382"/>
      <c r="G101" s="5382"/>
      <c r="H101" s="5382"/>
      <c r="I101" s="5384"/>
      <c r="J101" s="5383"/>
      <c r="K101" s="1289"/>
      <c r="L101" s="1295"/>
      <c r="M101" s="1292"/>
      <c r="N101" s="1292"/>
      <c r="O101" s="1701"/>
      <c r="P101" s="5385"/>
      <c r="Q101" s="5385"/>
      <c r="R101" s="292"/>
      <c r="S101" s="2326"/>
      <c r="T101" s="2327" t="s">
        <v>438</v>
      </c>
      <c r="U101" s="2328"/>
      <c r="V101" s="2329"/>
      <c r="W101" s="2330"/>
      <c r="X101" s="2331"/>
      <c r="Y101" s="2332"/>
      <c r="Z101" s="2333"/>
      <c r="AA101" s="2334"/>
      <c r="AB101" s="2335"/>
      <c r="AC101" s="2336"/>
      <c r="AD101" s="2337"/>
      <c r="AE101" s="2338"/>
      <c r="AF101" s="2339"/>
      <c r="AG101" s="2340"/>
      <c r="AH101" s="2341"/>
      <c r="AI101" s="2342"/>
      <c r="AJ101" s="2343"/>
      <c r="AK101" s="2344"/>
      <c r="AL101" s="3500"/>
      <c r="AM101" s="3501"/>
      <c r="AN101" s="3502"/>
      <c r="AO101" s="3503"/>
      <c r="AP101" s="3504"/>
      <c r="AQ101" s="3505"/>
      <c r="AR101" s="3506"/>
      <c r="AS101" s="3507"/>
      <c r="AT101" s="3508"/>
      <c r="AU101" s="3509"/>
      <c r="AV101" s="3510"/>
      <c r="AW101" s="3511"/>
      <c r="AX101" s="3512"/>
      <c r="AY101" s="3513"/>
      <c r="AZ101" s="3514"/>
      <c r="BA101" s="3515"/>
      <c r="BB101" s="3516"/>
      <c r="BC101" s="3517"/>
      <c r="BD101" s="3518"/>
      <c r="BE101" s="3519"/>
      <c r="BF101" s="3520"/>
      <c r="BG101" s="3521"/>
      <c r="BH101" s="3522"/>
      <c r="BI101" s="3523"/>
      <c r="BJ101" s="3524"/>
      <c r="BK101" s="3525"/>
      <c r="BL101" s="3526"/>
      <c r="BM101" s="3527"/>
      <c r="BN101" s="3528"/>
      <c r="BO101" s="3529"/>
      <c r="BP101" s="3530"/>
      <c r="BQ101" s="3531"/>
      <c r="BR101" s="3532"/>
      <c r="BS101" s="3533"/>
      <c r="BT101" s="3534"/>
      <c r="BU101" s="3535"/>
      <c r="BV101" s="3536"/>
      <c r="BW101" s="3537"/>
      <c r="BX101" s="3538"/>
      <c r="BY101" s="3539"/>
      <c r="BZ101" s="3540"/>
      <c r="CA101" s="3541"/>
      <c r="CB101" s="3542"/>
      <c r="CC101" s="3543"/>
      <c r="CD101" s="3544"/>
      <c r="CE101" s="3545"/>
      <c r="CF101" s="3546"/>
      <c r="CG101" s="3547"/>
      <c r="CH101" s="3548"/>
      <c r="CI101" s="3549"/>
      <c r="CJ101" s="3550"/>
      <c r="CK101" s="3551"/>
      <c r="CL101" s="3552"/>
      <c r="CM101" s="3553"/>
      <c r="CN101" s="3554"/>
      <c r="CO101" s="3555"/>
      <c r="CP101" s="3556"/>
      <c r="CQ101" s="3557"/>
      <c r="CR101" s="3558"/>
      <c r="CS101" s="3559"/>
      <c r="CT101" s="3560"/>
      <c r="CU101" s="3561"/>
      <c r="CV101" s="3562"/>
      <c r="CW101" s="3563"/>
      <c r="CX101" s="3564"/>
      <c r="CY101" s="3565"/>
      <c r="CZ101" s="3566"/>
      <c r="DA101" s="3567"/>
      <c r="DB101" s="3568"/>
      <c r="DC101" s="3569"/>
      <c r="DD101" s="3570"/>
      <c r="DE101" s="5179"/>
      <c r="DF101" s="2345"/>
      <c r="DG101" s="5407"/>
      <c r="DH101" s="1568"/>
      <c r="DI101" s="1550"/>
      <c r="DJ101" s="1550" t="str">
        <f t="shared" si="2"/>
        <v>Добавить вид теплоносителя (параметры теплоносителя)</v>
      </c>
      <c r="DK101" s="1550"/>
      <c r="DL101" s="1550"/>
      <c r="DM101" s="1561">
        <v>0</v>
      </c>
    </row>
    <row r="102" spans="1:117" s="1774" customFormat="1" ht="15" customHeight="1">
      <c r="A102" s="1289"/>
      <c r="B102" s="1289"/>
      <c r="C102" s="1289"/>
      <c r="D102" s="1289"/>
      <c r="E102" s="5382" t="s">
        <v>92</v>
      </c>
      <c r="F102" s="5382"/>
      <c r="G102" s="5382"/>
      <c r="H102" s="5382"/>
      <c r="I102" s="5383"/>
      <c r="J102" s="1289"/>
      <c r="K102" s="1289"/>
      <c r="L102" s="1295"/>
      <c r="M102" s="1292"/>
      <c r="N102" s="1701"/>
      <c r="O102" s="1701"/>
      <c r="P102" s="5385"/>
      <c r="Q102" s="2014"/>
      <c r="R102" s="292"/>
      <c r="S102" s="2346"/>
      <c r="T102" s="2347" t="s">
        <v>439</v>
      </c>
      <c r="U102" s="2348"/>
      <c r="V102" s="2349"/>
      <c r="W102" s="2350"/>
      <c r="X102" s="2351"/>
      <c r="Y102" s="2352"/>
      <c r="Z102" s="2353"/>
      <c r="AA102" s="2354"/>
      <c r="AB102" s="2355"/>
      <c r="AC102" s="2356"/>
      <c r="AD102" s="2357"/>
      <c r="AE102" s="2358"/>
      <c r="AF102" s="2359"/>
      <c r="AG102" s="2360"/>
      <c r="AH102" s="2361"/>
      <c r="AI102" s="2362"/>
      <c r="AJ102" s="2363"/>
      <c r="AK102" s="2364"/>
      <c r="AL102" s="3571"/>
      <c r="AM102" s="3572"/>
      <c r="AN102" s="3573"/>
      <c r="AO102" s="3574"/>
      <c r="AP102" s="3575"/>
      <c r="AQ102" s="3576"/>
      <c r="AR102" s="3577"/>
      <c r="AS102" s="3578"/>
      <c r="AT102" s="3579"/>
      <c r="AU102" s="3580"/>
      <c r="AV102" s="3581"/>
      <c r="AW102" s="3582"/>
      <c r="AX102" s="3583"/>
      <c r="AY102" s="3584"/>
      <c r="AZ102" s="3585"/>
      <c r="BA102" s="3586"/>
      <c r="BB102" s="3587"/>
      <c r="BC102" s="3588"/>
      <c r="BD102" s="3589"/>
      <c r="BE102" s="3590"/>
      <c r="BF102" s="3591"/>
      <c r="BG102" s="3592"/>
      <c r="BH102" s="3593"/>
      <c r="BI102" s="3594"/>
      <c r="BJ102" s="3595"/>
      <c r="BK102" s="3596"/>
      <c r="BL102" s="3597"/>
      <c r="BM102" s="3598"/>
      <c r="BN102" s="3599"/>
      <c r="BO102" s="3600"/>
      <c r="BP102" s="3601"/>
      <c r="BQ102" s="3602"/>
      <c r="BR102" s="3603"/>
      <c r="BS102" s="3604"/>
      <c r="BT102" s="3605"/>
      <c r="BU102" s="3606"/>
      <c r="BV102" s="3607"/>
      <c r="BW102" s="3608"/>
      <c r="BX102" s="3609"/>
      <c r="BY102" s="3610"/>
      <c r="BZ102" s="3611"/>
      <c r="CA102" s="3612"/>
      <c r="CB102" s="3613"/>
      <c r="CC102" s="3614"/>
      <c r="CD102" s="3615"/>
      <c r="CE102" s="3616"/>
      <c r="CF102" s="3617"/>
      <c r="CG102" s="3618"/>
      <c r="CH102" s="3619"/>
      <c r="CI102" s="3620"/>
      <c r="CJ102" s="3621"/>
      <c r="CK102" s="3622"/>
      <c r="CL102" s="3623"/>
      <c r="CM102" s="3624"/>
      <c r="CN102" s="3625"/>
      <c r="CO102" s="3626"/>
      <c r="CP102" s="3627"/>
      <c r="CQ102" s="3628"/>
      <c r="CR102" s="3629"/>
      <c r="CS102" s="3630"/>
      <c r="CT102" s="3631"/>
      <c r="CU102" s="3632"/>
      <c r="CV102" s="3633"/>
      <c r="CW102" s="3634"/>
      <c r="CX102" s="3635"/>
      <c r="CY102" s="3636"/>
      <c r="CZ102" s="3637"/>
      <c r="DA102" s="3638"/>
      <c r="DB102" s="3639"/>
      <c r="DC102" s="3640"/>
      <c r="DD102" s="3641"/>
      <c r="DE102" s="5180"/>
      <c r="DF102" s="2365"/>
      <c r="DG102" s="2366"/>
      <c r="DH102" s="1568"/>
      <c r="DI102" s="1550"/>
      <c r="DJ102" s="1550" t="str">
        <f t="shared" si="2"/>
        <v>Добавить группу потребителей</v>
      </c>
      <c r="DK102" s="1550"/>
      <c r="DL102" s="1550"/>
      <c r="DM102" s="1561">
        <v>0</v>
      </c>
    </row>
    <row r="103" spans="1:117" s="1774" customFormat="1" ht="14.25" customHeight="1">
      <c r="A103" s="1289"/>
      <c r="B103" s="1289"/>
      <c r="C103" s="1289"/>
      <c r="D103" s="1289"/>
      <c r="E103" s="5382" t="s">
        <v>92</v>
      </c>
      <c r="F103" s="5382"/>
      <c r="G103" s="5382"/>
      <c r="H103" s="5381"/>
      <c r="I103" s="1289"/>
      <c r="J103" s="1289"/>
      <c r="K103" s="1289"/>
      <c r="L103" s="1295"/>
      <c r="M103" s="1291"/>
      <c r="N103" s="1291"/>
      <c r="O103" s="1292"/>
      <c r="P103" s="1747"/>
      <c r="Q103" s="311"/>
      <c r="R103" s="291"/>
      <c r="S103" s="2367"/>
      <c r="T103" s="2368" t="s">
        <v>440</v>
      </c>
      <c r="U103" s="2369"/>
      <c r="V103" s="2370"/>
      <c r="W103" s="2371"/>
      <c r="X103" s="2372"/>
      <c r="Y103" s="2373"/>
      <c r="Z103" s="2374"/>
      <c r="AA103" s="2375"/>
      <c r="AB103" s="2376"/>
      <c r="AC103" s="2377"/>
      <c r="AD103" s="2378"/>
      <c r="AE103" s="2379"/>
      <c r="AF103" s="2380"/>
      <c r="AG103" s="2381"/>
      <c r="AH103" s="2382"/>
      <c r="AI103" s="2383"/>
      <c r="AJ103" s="2384"/>
      <c r="AK103" s="2385"/>
      <c r="AL103" s="3642"/>
      <c r="AM103" s="3643"/>
      <c r="AN103" s="3644"/>
      <c r="AO103" s="3645"/>
      <c r="AP103" s="3646"/>
      <c r="AQ103" s="3647"/>
      <c r="AR103" s="3648"/>
      <c r="AS103" s="3649"/>
      <c r="AT103" s="3650"/>
      <c r="AU103" s="3651"/>
      <c r="AV103" s="3652"/>
      <c r="AW103" s="3653"/>
      <c r="AX103" s="3654"/>
      <c r="AY103" s="3655"/>
      <c r="AZ103" s="3656"/>
      <c r="BA103" s="3657"/>
      <c r="BB103" s="3658"/>
      <c r="BC103" s="3659"/>
      <c r="BD103" s="3660"/>
      <c r="BE103" s="3661"/>
      <c r="BF103" s="3662"/>
      <c r="BG103" s="3663"/>
      <c r="BH103" s="3664"/>
      <c r="BI103" s="3665"/>
      <c r="BJ103" s="3666"/>
      <c r="BK103" s="3667"/>
      <c r="BL103" s="3668"/>
      <c r="BM103" s="3669"/>
      <c r="BN103" s="3670"/>
      <c r="BO103" s="3671"/>
      <c r="BP103" s="3672"/>
      <c r="BQ103" s="3673"/>
      <c r="BR103" s="3674"/>
      <c r="BS103" s="3675"/>
      <c r="BT103" s="3676"/>
      <c r="BU103" s="3677"/>
      <c r="BV103" s="3678"/>
      <c r="BW103" s="3679"/>
      <c r="BX103" s="3680"/>
      <c r="BY103" s="3681"/>
      <c r="BZ103" s="3682"/>
      <c r="CA103" s="3683"/>
      <c r="CB103" s="3684"/>
      <c r="CC103" s="3685"/>
      <c r="CD103" s="3686"/>
      <c r="CE103" s="3687"/>
      <c r="CF103" s="3688"/>
      <c r="CG103" s="3689"/>
      <c r="CH103" s="3690"/>
      <c r="CI103" s="3691"/>
      <c r="CJ103" s="3692"/>
      <c r="CK103" s="3693"/>
      <c r="CL103" s="3694"/>
      <c r="CM103" s="3695"/>
      <c r="CN103" s="3696"/>
      <c r="CO103" s="3697"/>
      <c r="CP103" s="3698"/>
      <c r="CQ103" s="3699"/>
      <c r="CR103" s="3700"/>
      <c r="CS103" s="3701"/>
      <c r="CT103" s="3702"/>
      <c r="CU103" s="3703"/>
      <c r="CV103" s="3704"/>
      <c r="CW103" s="3705"/>
      <c r="CX103" s="3706"/>
      <c r="CY103" s="3707"/>
      <c r="CZ103" s="3708"/>
      <c r="DA103" s="3709"/>
      <c r="DB103" s="3710"/>
      <c r="DC103" s="3711"/>
      <c r="DD103" s="3712"/>
      <c r="DE103" s="5181"/>
      <c r="DF103" s="2386"/>
      <c r="DG103" s="2387"/>
      <c r="DH103" s="1568"/>
      <c r="DI103" s="1550"/>
      <c r="DJ103" s="1550" t="str">
        <f t="shared" si="2"/>
        <v>Добавить схему подключения</v>
      </c>
      <c r="DK103" s="1550"/>
      <c r="DL103" s="1550"/>
      <c r="DM103" s="1561">
        <v>0</v>
      </c>
    </row>
    <row r="104" spans="1:117" s="558" customFormat="1" ht="0.75" customHeight="1">
      <c r="A104" s="1269"/>
      <c r="B104" s="1269"/>
      <c r="C104" s="1269"/>
      <c r="D104" s="1269"/>
      <c r="E104" s="5382" t="s">
        <v>92</v>
      </c>
      <c r="F104" s="5382"/>
      <c r="G104" s="5381"/>
      <c r="H104" s="1269"/>
      <c r="I104" s="1269"/>
      <c r="J104" s="1269"/>
      <c r="K104" s="1269"/>
      <c r="L104" s="1471"/>
      <c r="M104" s="1241"/>
      <c r="N104" s="1241"/>
      <c r="O104" s="1568"/>
      <c r="P104" s="1242"/>
      <c r="Q104" s="1270"/>
      <c r="R104" s="1242"/>
      <c r="S104" s="1244"/>
      <c r="T104" s="1245" t="s">
        <v>163</v>
      </c>
      <c r="U104" s="1246"/>
      <c r="V104" s="1246"/>
      <c r="W104" s="1246"/>
      <c r="X104" s="1246"/>
      <c r="Y104" s="1246"/>
      <c r="Z104" s="1246"/>
      <c r="AA104" s="1246"/>
      <c r="AB104" s="1246"/>
      <c r="AC104" s="1246"/>
      <c r="AD104" s="1246"/>
      <c r="AE104" s="1246"/>
      <c r="AF104" s="1246"/>
      <c r="AG104" s="1246"/>
      <c r="AH104" s="1246"/>
      <c r="AI104" s="1246"/>
      <c r="AJ104" s="1246"/>
      <c r="AK104" s="1246"/>
      <c r="AL104" s="1246"/>
      <c r="AM104" s="1246"/>
      <c r="AN104" s="1246"/>
      <c r="AO104" s="1246"/>
      <c r="AP104" s="1246"/>
      <c r="AQ104" s="1246"/>
      <c r="AR104" s="1246"/>
      <c r="AS104" s="1246"/>
      <c r="AT104" s="1246"/>
      <c r="AU104" s="1246"/>
      <c r="AV104" s="1246"/>
      <c r="AW104" s="1246"/>
      <c r="AX104" s="1246"/>
      <c r="AY104" s="1246"/>
      <c r="AZ104" s="1246"/>
      <c r="BA104" s="1246"/>
      <c r="BB104" s="1246"/>
      <c r="BC104" s="1246"/>
      <c r="BD104" s="1246"/>
      <c r="BE104" s="1246"/>
      <c r="BF104" s="1246"/>
      <c r="BG104" s="1246"/>
      <c r="BH104" s="1246"/>
      <c r="BI104" s="1246"/>
      <c r="BJ104" s="1246"/>
      <c r="BK104" s="1246"/>
      <c r="BL104" s="1246"/>
      <c r="BM104" s="1246"/>
      <c r="BN104" s="1246"/>
      <c r="BO104" s="1246"/>
      <c r="BP104" s="1246"/>
      <c r="BQ104" s="1246"/>
      <c r="BR104" s="1246"/>
      <c r="BS104" s="1246"/>
      <c r="BT104" s="1246"/>
      <c r="BU104" s="1246"/>
      <c r="BV104" s="1246"/>
      <c r="BW104" s="1246"/>
      <c r="BX104" s="1246"/>
      <c r="BY104" s="1246"/>
      <c r="BZ104" s="1246"/>
      <c r="CA104" s="1246"/>
      <c r="CB104" s="1246"/>
      <c r="CC104" s="1246"/>
      <c r="CD104" s="1246"/>
      <c r="CE104" s="1246"/>
      <c r="CF104" s="1246"/>
      <c r="CG104" s="1246"/>
      <c r="CH104" s="1246"/>
      <c r="CI104" s="1246"/>
      <c r="CJ104" s="1246"/>
      <c r="CK104" s="1246"/>
      <c r="CL104" s="1246"/>
      <c r="CM104" s="1246"/>
      <c r="CN104" s="1246"/>
      <c r="CO104" s="1246"/>
      <c r="CP104" s="1246"/>
      <c r="CQ104" s="1246"/>
      <c r="CR104" s="1246"/>
      <c r="CS104" s="1246"/>
      <c r="CT104" s="1246"/>
      <c r="CU104" s="1246"/>
      <c r="CV104" s="1246"/>
      <c r="CW104" s="1246"/>
      <c r="CX104" s="1246"/>
      <c r="CY104" s="1246"/>
      <c r="CZ104" s="1246"/>
      <c r="DA104" s="1246"/>
      <c r="DB104" s="1246"/>
      <c r="DC104" s="1246"/>
      <c r="DD104" s="1246"/>
      <c r="DE104" s="1246"/>
      <c r="DF104" s="1246"/>
      <c r="DG104" s="1246"/>
      <c r="DH104" s="1568"/>
      <c r="DI104" s="1550"/>
      <c r="DJ104" s="1550" t="str">
        <f t="shared" si="2"/>
        <v>Добавить источник для дифференциации</v>
      </c>
      <c r="DK104" s="1550"/>
      <c r="DL104" s="1550"/>
      <c r="DM104" s="1568">
        <v>0</v>
      </c>
    </row>
    <row r="105" spans="1:117" s="558" customFormat="1" ht="0.75" customHeight="1">
      <c r="A105" s="1269"/>
      <c r="B105" s="1269"/>
      <c r="C105" s="1269"/>
      <c r="D105" s="1269"/>
      <c r="E105" s="5382" t="s">
        <v>92</v>
      </c>
      <c r="F105" s="5381"/>
      <c r="G105" s="1269"/>
      <c r="H105" s="1269"/>
      <c r="I105" s="1269"/>
      <c r="J105" s="1269"/>
      <c r="K105" s="1269"/>
      <c r="L105" s="1471"/>
      <c r="M105" s="1247"/>
      <c r="N105" s="1247"/>
      <c r="O105" s="1568"/>
      <c r="P105" s="1242"/>
      <c r="Q105" s="1270"/>
      <c r="R105" s="1242"/>
      <c r="S105" s="1248"/>
      <c r="T105" s="1249" t="s">
        <v>164</v>
      </c>
      <c r="U105" s="1250"/>
      <c r="V105" s="1250"/>
      <c r="W105" s="1250"/>
      <c r="X105" s="1250"/>
      <c r="Y105" s="1250"/>
      <c r="Z105" s="1250"/>
      <c r="AA105" s="1250"/>
      <c r="AB105" s="1250"/>
      <c r="AC105" s="1250"/>
      <c r="AD105" s="1250"/>
      <c r="AE105" s="1250"/>
      <c r="AF105" s="1250"/>
      <c r="AG105" s="1250"/>
      <c r="AH105" s="1250"/>
      <c r="AI105" s="1250"/>
      <c r="AJ105" s="1250"/>
      <c r="AK105" s="1250"/>
      <c r="AL105" s="1250"/>
      <c r="AM105" s="1250"/>
      <c r="AN105" s="1250"/>
      <c r="AO105" s="1250"/>
      <c r="AP105" s="1250"/>
      <c r="AQ105" s="1250"/>
      <c r="AR105" s="1250"/>
      <c r="AS105" s="1250"/>
      <c r="AT105" s="1250"/>
      <c r="AU105" s="1250"/>
      <c r="AV105" s="1250"/>
      <c r="AW105" s="1250"/>
      <c r="AX105" s="1250"/>
      <c r="AY105" s="1250"/>
      <c r="AZ105" s="1250"/>
      <c r="BA105" s="1250"/>
      <c r="BB105" s="1250"/>
      <c r="BC105" s="1250"/>
      <c r="BD105" s="1250"/>
      <c r="BE105" s="1250"/>
      <c r="BF105" s="1250"/>
      <c r="BG105" s="1250"/>
      <c r="BH105" s="1250"/>
      <c r="BI105" s="1250"/>
      <c r="BJ105" s="1250"/>
      <c r="BK105" s="1250"/>
      <c r="BL105" s="1250"/>
      <c r="BM105" s="1250"/>
      <c r="BN105" s="1250"/>
      <c r="BO105" s="1250"/>
      <c r="BP105" s="1250"/>
      <c r="BQ105" s="1250"/>
      <c r="BR105" s="1250"/>
      <c r="BS105" s="1250"/>
      <c r="BT105" s="1250"/>
      <c r="BU105" s="1250"/>
      <c r="BV105" s="1250"/>
      <c r="BW105" s="1250"/>
      <c r="BX105" s="1250"/>
      <c r="BY105" s="1250"/>
      <c r="BZ105" s="1250"/>
      <c r="CA105" s="1250"/>
      <c r="CB105" s="1250"/>
      <c r="CC105" s="1250"/>
      <c r="CD105" s="1250"/>
      <c r="CE105" s="1250"/>
      <c r="CF105" s="1250"/>
      <c r="CG105" s="1250"/>
      <c r="CH105" s="1250"/>
      <c r="CI105" s="1250"/>
      <c r="CJ105" s="1250"/>
      <c r="CK105" s="1250"/>
      <c r="CL105" s="1250"/>
      <c r="CM105" s="1250"/>
      <c r="CN105" s="1250"/>
      <c r="CO105" s="1250"/>
      <c r="CP105" s="1250"/>
      <c r="CQ105" s="1250"/>
      <c r="CR105" s="1250"/>
      <c r="CS105" s="1250"/>
      <c r="CT105" s="1250"/>
      <c r="CU105" s="1250"/>
      <c r="CV105" s="1250"/>
      <c r="CW105" s="1250"/>
      <c r="CX105" s="1250"/>
      <c r="CY105" s="1250"/>
      <c r="CZ105" s="1250"/>
      <c r="DA105" s="1250"/>
      <c r="DB105" s="1250"/>
      <c r="DC105" s="1250"/>
      <c r="DD105" s="1250"/>
      <c r="DE105" s="1250"/>
      <c r="DF105" s="1250"/>
      <c r="DG105" s="1250"/>
      <c r="DH105" s="1568"/>
      <c r="DI105" s="1550"/>
      <c r="DJ105" s="1550" t="str">
        <f t="shared" si="2"/>
        <v>Добавить централизованную систему для дифференциации</v>
      </c>
      <c r="DK105" s="1550"/>
      <c r="DL105" s="1550"/>
      <c r="DM105" s="1568">
        <v>0</v>
      </c>
    </row>
    <row r="106" spans="1:117" s="558" customFormat="1" ht="0.75" customHeight="1">
      <c r="A106" s="1269"/>
      <c r="B106" s="1269"/>
      <c r="C106" s="1269"/>
      <c r="D106" s="1269"/>
      <c r="E106" s="5381" t="s">
        <v>92</v>
      </c>
      <c r="F106" s="1269"/>
      <c r="G106" s="1269"/>
      <c r="H106" s="1269"/>
      <c r="I106" s="1269"/>
      <c r="J106" s="1269"/>
      <c r="K106" s="1269"/>
      <c r="L106" s="1471"/>
      <c r="M106" s="1247"/>
      <c r="N106" s="1247"/>
      <c r="O106" s="1568"/>
      <c r="P106" s="1242"/>
      <c r="Q106" s="1270"/>
      <c r="R106" s="1242"/>
      <c r="S106" s="1248"/>
      <c r="T106" s="1251" t="s">
        <v>165</v>
      </c>
      <c r="U106" s="1250"/>
      <c r="V106" s="1250"/>
      <c r="W106" s="1250"/>
      <c r="X106" s="1250"/>
      <c r="Y106" s="1250"/>
      <c r="Z106" s="1250"/>
      <c r="AA106" s="1250"/>
      <c r="AB106" s="1250"/>
      <c r="AC106" s="1250"/>
      <c r="AD106" s="1250"/>
      <c r="AE106" s="1250"/>
      <c r="AF106" s="1250"/>
      <c r="AG106" s="1250"/>
      <c r="AH106" s="1250"/>
      <c r="AI106" s="1250"/>
      <c r="AJ106" s="1250"/>
      <c r="AK106" s="1250"/>
      <c r="AL106" s="1250"/>
      <c r="AM106" s="1250"/>
      <c r="AN106" s="1250"/>
      <c r="AO106" s="1250"/>
      <c r="AP106" s="1250"/>
      <c r="AQ106" s="1250"/>
      <c r="AR106" s="1250"/>
      <c r="AS106" s="1250"/>
      <c r="AT106" s="1250"/>
      <c r="AU106" s="1250"/>
      <c r="AV106" s="1250"/>
      <c r="AW106" s="1250"/>
      <c r="AX106" s="1250"/>
      <c r="AY106" s="1250"/>
      <c r="AZ106" s="1250"/>
      <c r="BA106" s="1250"/>
      <c r="BB106" s="1250"/>
      <c r="BC106" s="1250"/>
      <c r="BD106" s="1250"/>
      <c r="BE106" s="1250"/>
      <c r="BF106" s="1250"/>
      <c r="BG106" s="1250"/>
      <c r="BH106" s="1250"/>
      <c r="BI106" s="1250"/>
      <c r="BJ106" s="1250"/>
      <c r="BK106" s="1250"/>
      <c r="BL106" s="1250"/>
      <c r="BM106" s="1250"/>
      <c r="BN106" s="1250"/>
      <c r="BO106" s="1250"/>
      <c r="BP106" s="1250"/>
      <c r="BQ106" s="1250"/>
      <c r="BR106" s="1250"/>
      <c r="BS106" s="1250"/>
      <c r="BT106" s="1250"/>
      <c r="BU106" s="1250"/>
      <c r="BV106" s="1250"/>
      <c r="BW106" s="1250"/>
      <c r="BX106" s="1250"/>
      <c r="BY106" s="1250"/>
      <c r="BZ106" s="1250"/>
      <c r="CA106" s="1250"/>
      <c r="CB106" s="1250"/>
      <c r="CC106" s="1250"/>
      <c r="CD106" s="1250"/>
      <c r="CE106" s="1250"/>
      <c r="CF106" s="1250"/>
      <c r="CG106" s="1250"/>
      <c r="CH106" s="1250"/>
      <c r="CI106" s="1250"/>
      <c r="CJ106" s="1250"/>
      <c r="CK106" s="1250"/>
      <c r="CL106" s="1250"/>
      <c r="CM106" s="1250"/>
      <c r="CN106" s="1250"/>
      <c r="CO106" s="1250"/>
      <c r="CP106" s="1250"/>
      <c r="CQ106" s="1250"/>
      <c r="CR106" s="1250"/>
      <c r="CS106" s="1250"/>
      <c r="CT106" s="1250"/>
      <c r="CU106" s="1250"/>
      <c r="CV106" s="1250"/>
      <c r="CW106" s="1250"/>
      <c r="CX106" s="1250"/>
      <c r="CY106" s="1250"/>
      <c r="CZ106" s="1250"/>
      <c r="DA106" s="1250"/>
      <c r="DB106" s="1250"/>
      <c r="DC106" s="1250"/>
      <c r="DD106" s="1250"/>
      <c r="DE106" s="1250"/>
      <c r="DF106" s="1250"/>
      <c r="DG106" s="1250"/>
      <c r="DH106" s="1568"/>
      <c r="DI106" s="1550"/>
      <c r="DJ106" s="1550" t="str">
        <f t="shared" si="2"/>
        <v>Добавить территорию для дифференциации</v>
      </c>
      <c r="DK106" s="1550"/>
      <c r="DL106" s="1550"/>
      <c r="DM106" s="1568">
        <v>0</v>
      </c>
    </row>
    <row r="107" spans="1:117" s="1568" customFormat="1" ht="1.1499999999999999" customHeight="1">
      <c r="A107" s="1240"/>
      <c r="B107" s="1240"/>
      <c r="C107" s="1240"/>
      <c r="D107" s="1240"/>
      <c r="E107" s="1269"/>
      <c r="F107" s="1240"/>
      <c r="G107" s="1240"/>
      <c r="H107" s="1240"/>
      <c r="I107" s="1240"/>
      <c r="J107" s="1240"/>
      <c r="K107" s="1240"/>
      <c r="L107" s="1265"/>
      <c r="M107" s="1247"/>
      <c r="N107" s="1247"/>
      <c r="P107" s="1242"/>
      <c r="Q107" s="1243"/>
      <c r="R107" s="1242"/>
      <c r="S107" s="1248"/>
      <c r="T107" s="1251" t="s">
        <v>182</v>
      </c>
      <c r="U107" s="1250"/>
      <c r="V107" s="1250"/>
      <c r="W107" s="1250"/>
      <c r="X107" s="1250"/>
      <c r="Y107" s="1250"/>
      <c r="Z107" s="1250"/>
      <c r="AA107" s="1250"/>
      <c r="AB107" s="1250"/>
      <c r="AC107" s="1250"/>
      <c r="AD107" s="1250"/>
      <c r="AE107" s="1250"/>
      <c r="AF107" s="1250"/>
      <c r="AG107" s="1250"/>
      <c r="AH107" s="1250"/>
      <c r="AI107" s="1250"/>
      <c r="AJ107" s="1250"/>
      <c r="AK107" s="1250"/>
      <c r="AL107" s="1250"/>
      <c r="AM107" s="1250"/>
      <c r="AN107" s="1250"/>
      <c r="AO107" s="1250"/>
      <c r="AP107" s="1250"/>
      <c r="AQ107" s="1250"/>
      <c r="AR107" s="1250"/>
      <c r="AS107" s="1250"/>
      <c r="AT107" s="1250"/>
      <c r="AU107" s="1250"/>
      <c r="AV107" s="1250"/>
      <c r="AW107" s="1250"/>
      <c r="AX107" s="1250"/>
      <c r="AY107" s="1250"/>
      <c r="AZ107" s="1250"/>
      <c r="BA107" s="1250"/>
      <c r="BB107" s="1250"/>
      <c r="BC107" s="1250"/>
      <c r="BD107" s="1250"/>
      <c r="BE107" s="1250"/>
      <c r="BF107" s="1250"/>
      <c r="BG107" s="1250"/>
      <c r="BH107" s="1250"/>
      <c r="BI107" s="1250"/>
      <c r="BJ107" s="1250"/>
      <c r="BK107" s="1250"/>
      <c r="BL107" s="1250"/>
      <c r="BM107" s="1250"/>
      <c r="BN107" s="1250"/>
      <c r="BO107" s="1250"/>
      <c r="BP107" s="1250"/>
      <c r="BQ107" s="1250"/>
      <c r="BR107" s="1250"/>
      <c r="BS107" s="1250"/>
      <c r="BT107" s="1250"/>
      <c r="BU107" s="1250"/>
      <c r="BV107" s="1250"/>
      <c r="BW107" s="1250"/>
      <c r="BX107" s="1250"/>
      <c r="BY107" s="1250"/>
      <c r="BZ107" s="1250"/>
      <c r="CA107" s="1250"/>
      <c r="CB107" s="1250"/>
      <c r="CC107" s="1250"/>
      <c r="CD107" s="1250"/>
      <c r="CE107" s="1250"/>
      <c r="CF107" s="1250"/>
      <c r="CG107" s="1250"/>
      <c r="CH107" s="1250"/>
      <c r="CI107" s="1250"/>
      <c r="CJ107" s="1250"/>
      <c r="CK107" s="1250"/>
      <c r="CL107" s="1250"/>
      <c r="CM107" s="1250"/>
      <c r="CN107" s="1250"/>
      <c r="CO107" s="1250"/>
      <c r="CP107" s="1250"/>
      <c r="CQ107" s="1250"/>
      <c r="CR107" s="1250"/>
      <c r="CS107" s="1250"/>
      <c r="CT107" s="1250"/>
      <c r="CU107" s="1250"/>
      <c r="CV107" s="1250"/>
      <c r="CW107" s="1250"/>
      <c r="CX107" s="1250"/>
      <c r="CY107" s="1250"/>
      <c r="CZ107" s="1250"/>
      <c r="DA107" s="1250"/>
      <c r="DB107" s="1250"/>
      <c r="DC107" s="1250"/>
      <c r="DD107" s="1250"/>
      <c r="DE107" s="5160"/>
      <c r="DF107" s="1250"/>
      <c r="DG107" s="1250"/>
      <c r="DI107" s="719"/>
      <c r="DJ107" s="719" t="str">
        <f t="shared" si="2"/>
        <v>Добавить наименование тарифа</v>
      </c>
      <c r="DK107" s="719"/>
      <c r="DL107" s="719"/>
      <c r="DM107" s="454">
        <v>1</v>
      </c>
    </row>
    <row r="108" spans="1:117" ht="11.45" customHeight="1">
      <c r="M108" s="1086"/>
      <c r="N108" s="1086"/>
      <c r="O108" s="473"/>
      <c r="P108" s="1081"/>
      <c r="Q108" s="1081"/>
      <c r="R108" s="1081"/>
      <c r="S108" s="1081"/>
      <c r="AL108" s="1561"/>
      <c r="AM108" s="1561"/>
      <c r="AN108" s="1561"/>
      <c r="AO108" s="1561"/>
      <c r="AP108" s="1561"/>
      <c r="AQ108" s="1561"/>
      <c r="AR108" s="1561"/>
      <c r="AS108" s="1561"/>
      <c r="AT108" s="1561"/>
      <c r="AU108" s="1561"/>
      <c r="AV108" s="1561"/>
      <c r="AW108" s="1561"/>
      <c r="AX108" s="1561"/>
      <c r="AY108" s="1561"/>
      <c r="AZ108" s="1561"/>
      <c r="BA108" s="1561"/>
      <c r="BB108" s="1561"/>
      <c r="BC108" s="1561"/>
      <c r="BD108" s="1561"/>
      <c r="BE108" s="1561"/>
      <c r="BF108" s="1561"/>
      <c r="BG108" s="1561"/>
      <c r="BH108" s="1561"/>
      <c r="BI108" s="1561"/>
      <c r="BJ108" s="1561"/>
      <c r="BK108" s="1561"/>
      <c r="BL108" s="1561"/>
      <c r="BM108" s="1561"/>
      <c r="BN108" s="1561"/>
      <c r="BO108" s="1561"/>
      <c r="BP108" s="1561"/>
      <c r="BQ108" s="1561"/>
      <c r="BR108" s="1561"/>
      <c r="BS108" s="1561"/>
      <c r="BT108" s="1561"/>
      <c r="BU108" s="1561"/>
      <c r="BV108" s="1561"/>
      <c r="BW108" s="1561"/>
      <c r="BX108" s="1561"/>
      <c r="BY108" s="1561"/>
      <c r="BZ108" s="1561"/>
      <c r="CA108" s="1561"/>
      <c r="CB108" s="1561"/>
      <c r="CC108" s="1561"/>
      <c r="CD108" s="1561"/>
      <c r="CE108" s="1561"/>
      <c r="CF108" s="1561"/>
      <c r="CG108" s="1561"/>
      <c r="CH108" s="1561"/>
      <c r="CI108" s="1561"/>
      <c r="CJ108" s="1561"/>
      <c r="CK108" s="1561"/>
      <c r="CL108" s="1561"/>
      <c r="CM108" s="1561"/>
      <c r="CN108" s="1561"/>
      <c r="CO108" s="1561"/>
      <c r="CP108" s="1561"/>
      <c r="CQ108" s="1561"/>
      <c r="CR108" s="1561"/>
      <c r="CS108" s="1561"/>
      <c r="CT108" s="1561"/>
      <c r="CU108" s="1561"/>
      <c r="CV108" s="1561"/>
      <c r="CW108" s="1561"/>
      <c r="CX108" s="1561"/>
      <c r="CY108" s="1561"/>
      <c r="CZ108" s="1561"/>
      <c r="DA108" s="1561"/>
      <c r="DB108" s="1561"/>
      <c r="DC108" s="1561"/>
      <c r="DD108" s="1561"/>
      <c r="DE108" s="5155"/>
      <c r="DH108" s="1081"/>
      <c r="DI108" s="1081"/>
      <c r="DJ108" s="1081"/>
      <c r="DK108" s="1081"/>
      <c r="DL108" s="1081"/>
      <c r="DM108" s="1081">
        <v>11</v>
      </c>
    </row>
    <row r="109" spans="1:117" ht="28.5" customHeight="1">
      <c r="O109" s="473"/>
      <c r="S109" s="1179"/>
      <c r="T109" s="5379"/>
      <c r="U109" s="5379"/>
      <c r="V109" s="5379"/>
      <c r="W109" s="5379"/>
      <c r="X109" s="5379"/>
      <c r="Y109" s="5379"/>
      <c r="Z109" s="5379"/>
      <c r="AA109" s="5379"/>
      <c r="AB109" s="5379"/>
      <c r="AC109" s="5379"/>
      <c r="AD109" s="5379"/>
      <c r="AE109" s="5379"/>
      <c r="AF109" s="5379"/>
      <c r="AG109" s="5379"/>
      <c r="AH109" s="5379"/>
      <c r="AI109" s="5379"/>
      <c r="AJ109" s="5379"/>
      <c r="AK109" s="5379"/>
      <c r="AL109" s="5379"/>
      <c r="AM109" s="5379"/>
      <c r="AN109" s="5379"/>
      <c r="AO109" s="5379"/>
      <c r="AP109" s="5379"/>
      <c r="AQ109" s="5379"/>
      <c r="AR109" s="5379"/>
      <c r="AS109" s="5379"/>
      <c r="AT109" s="5379"/>
      <c r="AU109" s="5379"/>
      <c r="AV109" s="5379"/>
      <c r="AW109" s="5379"/>
      <c r="AX109" s="5379"/>
      <c r="AY109" s="5379"/>
      <c r="AZ109" s="5379"/>
      <c r="BA109" s="5379"/>
      <c r="BB109" s="5379"/>
      <c r="BC109" s="5379"/>
      <c r="BD109" s="5379"/>
      <c r="BE109" s="5379"/>
      <c r="BF109" s="5379"/>
      <c r="BG109" s="5379"/>
      <c r="BH109" s="5379"/>
      <c r="BI109" s="5379"/>
      <c r="BJ109" s="5379"/>
      <c r="BK109" s="5379"/>
      <c r="BL109" s="5379"/>
      <c r="BM109" s="5379"/>
      <c r="BN109" s="5379"/>
      <c r="BO109" s="5379"/>
      <c r="BP109" s="5379"/>
      <c r="BQ109" s="5379"/>
      <c r="BR109" s="5379"/>
      <c r="BS109" s="5379"/>
      <c r="BT109" s="5379"/>
      <c r="BU109" s="5379"/>
      <c r="BV109" s="5379"/>
      <c r="BW109" s="5379"/>
      <c r="BX109" s="5379"/>
      <c r="BY109" s="5379"/>
      <c r="BZ109" s="5379"/>
      <c r="CA109" s="5379"/>
      <c r="CB109" s="5379"/>
      <c r="CC109" s="5379"/>
      <c r="CD109" s="5379"/>
      <c r="CE109" s="5379"/>
      <c r="CF109" s="5379"/>
      <c r="CG109" s="5379"/>
      <c r="CH109" s="5379"/>
      <c r="CI109" s="5379"/>
      <c r="CJ109" s="5379"/>
      <c r="CK109" s="5379"/>
      <c r="CL109" s="5379"/>
      <c r="CM109" s="5379"/>
      <c r="CN109" s="5379"/>
      <c r="CO109" s="5379"/>
      <c r="CP109" s="5379"/>
      <c r="CQ109" s="5379"/>
      <c r="CR109" s="5379"/>
      <c r="CS109" s="5379"/>
      <c r="CT109" s="5379"/>
      <c r="CU109" s="5379"/>
      <c r="CV109" s="5379"/>
      <c r="CW109" s="5379"/>
      <c r="CX109" s="5379"/>
      <c r="CY109" s="5379"/>
      <c r="CZ109" s="5379"/>
      <c r="DA109" s="5379"/>
      <c r="DB109" s="5379"/>
      <c r="DC109" s="5379"/>
      <c r="DD109" s="5379"/>
      <c r="DE109" s="5380"/>
      <c r="DF109" s="5379"/>
      <c r="DG109" s="5379"/>
      <c r="DM109" s="1081">
        <v>27</v>
      </c>
    </row>
    <row r="110" spans="1:117" ht="67.150000000000006" customHeight="1">
      <c r="O110" s="473"/>
      <c r="P110" s="1229"/>
      <c r="T110" s="5379"/>
      <c r="U110" s="5379"/>
      <c r="V110" s="5379"/>
      <c r="W110" s="5379"/>
      <c r="X110" s="5379"/>
      <c r="Y110" s="5379"/>
      <c r="Z110" s="5379"/>
      <c r="AA110" s="5379"/>
      <c r="AB110" s="5379"/>
      <c r="AC110" s="5379"/>
      <c r="AD110" s="5379"/>
      <c r="AE110" s="5379"/>
      <c r="AF110" s="5379"/>
      <c r="AG110" s="5379"/>
      <c r="AH110" s="5379"/>
      <c r="AI110" s="5379"/>
      <c r="AJ110" s="5379"/>
      <c r="AK110" s="5379"/>
      <c r="AL110" s="5379"/>
      <c r="AM110" s="5379"/>
      <c r="AN110" s="5379"/>
      <c r="AO110" s="5379"/>
      <c r="AP110" s="5379"/>
      <c r="AQ110" s="5379"/>
      <c r="AR110" s="5379"/>
      <c r="AS110" s="5379"/>
      <c r="AT110" s="5379"/>
      <c r="AU110" s="5379"/>
      <c r="AV110" s="5379"/>
      <c r="AW110" s="5379"/>
      <c r="AX110" s="5379"/>
      <c r="AY110" s="5379"/>
      <c r="AZ110" s="5379"/>
      <c r="BA110" s="5379"/>
      <c r="BB110" s="5379"/>
      <c r="BC110" s="5379"/>
      <c r="BD110" s="5379"/>
      <c r="BE110" s="5379"/>
      <c r="BF110" s="5379"/>
      <c r="BG110" s="5379"/>
      <c r="BH110" s="5379"/>
      <c r="BI110" s="5379"/>
      <c r="BJ110" s="5379"/>
      <c r="BK110" s="5379"/>
      <c r="BL110" s="5379"/>
      <c r="BM110" s="5379"/>
      <c r="BN110" s="5379"/>
      <c r="BO110" s="5379"/>
      <c r="BP110" s="5379"/>
      <c r="BQ110" s="5379"/>
      <c r="BR110" s="5379"/>
      <c r="BS110" s="5379"/>
      <c r="BT110" s="5379"/>
      <c r="BU110" s="5379"/>
      <c r="BV110" s="5379"/>
      <c r="BW110" s="5379"/>
      <c r="BX110" s="5379"/>
      <c r="BY110" s="5379"/>
      <c r="BZ110" s="5379"/>
      <c r="CA110" s="5379"/>
      <c r="CB110" s="5379"/>
      <c r="CC110" s="5379"/>
      <c r="CD110" s="5379"/>
      <c r="CE110" s="5379"/>
      <c r="CF110" s="5379"/>
      <c r="CG110" s="5379"/>
      <c r="CH110" s="5379"/>
      <c r="CI110" s="5379"/>
      <c r="CJ110" s="5379"/>
      <c r="CK110" s="5379"/>
      <c r="CL110" s="5379"/>
      <c r="CM110" s="5379"/>
      <c r="CN110" s="5379"/>
      <c r="CO110" s="5379"/>
      <c r="CP110" s="5379"/>
      <c r="CQ110" s="5379"/>
      <c r="CR110" s="5379"/>
      <c r="CS110" s="5379"/>
      <c r="CT110" s="5379"/>
      <c r="CU110" s="5379"/>
      <c r="CV110" s="5379"/>
      <c r="CW110" s="5379"/>
      <c r="CX110" s="5379"/>
      <c r="CY110" s="5379"/>
      <c r="CZ110" s="5379"/>
      <c r="DA110" s="5379"/>
      <c r="DB110" s="5379"/>
      <c r="DC110" s="5379"/>
      <c r="DD110" s="5379"/>
      <c r="DE110" s="5380"/>
      <c r="DF110" s="5379"/>
      <c r="DG110" s="5379"/>
      <c r="DM110" s="1081">
        <v>64</v>
      </c>
    </row>
    <row r="111" spans="1:117" ht="14.65" customHeight="1">
      <c r="O111" s="473"/>
      <c r="AL111" s="1561"/>
      <c r="AM111" s="1561"/>
      <c r="AN111" s="1561"/>
      <c r="AO111" s="1561"/>
      <c r="AP111" s="1561"/>
      <c r="AQ111" s="1561"/>
      <c r="AR111" s="1561"/>
      <c r="AS111" s="1561"/>
      <c r="AT111" s="1561"/>
      <c r="AU111" s="1561"/>
      <c r="AV111" s="1561"/>
      <c r="AW111" s="1561"/>
      <c r="AX111" s="1561"/>
      <c r="AY111" s="1561"/>
      <c r="AZ111" s="1561"/>
      <c r="BA111" s="1561"/>
      <c r="BB111" s="1561"/>
      <c r="BC111" s="1561"/>
      <c r="BD111" s="1561"/>
      <c r="BE111" s="1561"/>
      <c r="BF111" s="1561"/>
      <c r="BG111" s="1561"/>
      <c r="BH111" s="1561"/>
      <c r="BI111" s="1561"/>
      <c r="BJ111" s="1561"/>
      <c r="BK111" s="1561"/>
      <c r="BL111" s="1561"/>
      <c r="BM111" s="1561"/>
      <c r="BN111" s="1561"/>
      <c r="BO111" s="1561"/>
      <c r="BP111" s="1561"/>
      <c r="BQ111" s="1561"/>
      <c r="BR111" s="1561"/>
      <c r="BS111" s="1561"/>
      <c r="BT111" s="1561"/>
      <c r="BU111" s="1561"/>
      <c r="BV111" s="1561"/>
      <c r="BW111" s="1561"/>
      <c r="BX111" s="1561"/>
      <c r="BY111" s="1561"/>
      <c r="BZ111" s="1561"/>
      <c r="CA111" s="1561"/>
      <c r="CB111" s="1561"/>
      <c r="CC111" s="1561"/>
      <c r="CD111" s="1561"/>
      <c r="CE111" s="1561"/>
      <c r="CF111" s="1561"/>
      <c r="CG111" s="1561"/>
      <c r="CH111" s="1561"/>
      <c r="CI111" s="1561"/>
      <c r="CJ111" s="1561"/>
      <c r="CK111" s="1561"/>
      <c r="CL111" s="1561"/>
      <c r="CM111" s="1561"/>
      <c r="CN111" s="1561"/>
      <c r="CO111" s="1561"/>
      <c r="CP111" s="1561"/>
      <c r="CQ111" s="1561"/>
      <c r="CR111" s="1561"/>
      <c r="CS111" s="1561"/>
      <c r="CT111" s="1561"/>
      <c r="CU111" s="1561"/>
      <c r="CV111" s="1561"/>
      <c r="CW111" s="1561"/>
      <c r="CX111" s="1561"/>
      <c r="CY111" s="1561"/>
      <c r="CZ111" s="1561"/>
      <c r="DA111" s="1561"/>
      <c r="DB111" s="1561"/>
      <c r="DC111" s="1561"/>
      <c r="DD111" s="1561"/>
      <c r="DE111" s="5155"/>
      <c r="DM111" s="1081">
        <v>14</v>
      </c>
    </row>
    <row r="112" spans="1:117" ht="18.75" customHeight="1">
      <c r="O112" s="473"/>
      <c r="P112" s="1254"/>
      <c r="S112" s="1179"/>
      <c r="T112" s="5379"/>
      <c r="U112" s="5379"/>
      <c r="V112" s="5379"/>
      <c r="W112" s="5379"/>
      <c r="X112" s="5379"/>
      <c r="Y112" s="5379"/>
      <c r="Z112" s="5379"/>
      <c r="AA112" s="5379"/>
      <c r="AB112" s="5379"/>
      <c r="AC112" s="5379"/>
      <c r="AD112" s="5379"/>
      <c r="AE112" s="5379"/>
      <c r="AF112" s="5379"/>
      <c r="AG112" s="5379"/>
      <c r="AH112" s="5379"/>
      <c r="AI112" s="5379"/>
      <c r="AJ112" s="5379"/>
      <c r="AK112" s="5379"/>
      <c r="AL112" s="5379"/>
      <c r="AM112" s="5379"/>
      <c r="AN112" s="5379"/>
      <c r="AO112" s="5379"/>
      <c r="AP112" s="5379"/>
      <c r="AQ112" s="5379"/>
      <c r="AR112" s="5379"/>
      <c r="AS112" s="5379"/>
      <c r="AT112" s="5379"/>
      <c r="AU112" s="5379"/>
      <c r="AV112" s="5379"/>
      <c r="AW112" s="5379"/>
      <c r="AX112" s="5379"/>
      <c r="AY112" s="5379"/>
      <c r="AZ112" s="5379"/>
      <c r="BA112" s="5379"/>
      <c r="BB112" s="5379"/>
      <c r="BC112" s="5379"/>
      <c r="BD112" s="5379"/>
      <c r="BE112" s="5379"/>
      <c r="BF112" s="5379"/>
      <c r="BG112" s="5379"/>
      <c r="BH112" s="5379"/>
      <c r="BI112" s="5379"/>
      <c r="BJ112" s="5379"/>
      <c r="BK112" s="5379"/>
      <c r="BL112" s="5379"/>
      <c r="BM112" s="5379"/>
      <c r="BN112" s="5379"/>
      <c r="BO112" s="5379"/>
      <c r="BP112" s="5379"/>
      <c r="BQ112" s="5379"/>
      <c r="BR112" s="5379"/>
      <c r="BS112" s="5379"/>
      <c r="BT112" s="5379"/>
      <c r="BU112" s="5379"/>
      <c r="BV112" s="5379"/>
      <c r="BW112" s="5379"/>
      <c r="BX112" s="5379"/>
      <c r="BY112" s="5379"/>
      <c r="BZ112" s="5379"/>
      <c r="CA112" s="5379"/>
      <c r="CB112" s="5379"/>
      <c r="CC112" s="5379"/>
      <c r="CD112" s="5379"/>
      <c r="CE112" s="5379"/>
      <c r="CF112" s="5379"/>
      <c r="CG112" s="5379"/>
      <c r="CH112" s="5379"/>
      <c r="CI112" s="5379"/>
      <c r="CJ112" s="5379"/>
      <c r="CK112" s="5379"/>
      <c r="CL112" s="5379"/>
      <c r="CM112" s="5379"/>
      <c r="CN112" s="5379"/>
      <c r="CO112" s="5379"/>
      <c r="CP112" s="5379"/>
      <c r="CQ112" s="5379"/>
      <c r="CR112" s="5379"/>
      <c r="CS112" s="5379"/>
      <c r="CT112" s="5379"/>
      <c r="CU112" s="5379"/>
      <c r="CV112" s="5379"/>
      <c r="CW112" s="5379"/>
      <c r="CX112" s="5379"/>
      <c r="CY112" s="5379"/>
      <c r="CZ112" s="5379"/>
      <c r="DA112" s="5379"/>
      <c r="DB112" s="5379"/>
      <c r="DC112" s="5379"/>
      <c r="DD112" s="5379"/>
      <c r="DE112" s="5380"/>
      <c r="DF112" s="5379"/>
      <c r="DG112" s="5379"/>
      <c r="DM112" s="1081">
        <v>18</v>
      </c>
    </row>
    <row r="113" spans="1:117" ht="18.75" customHeight="1">
      <c r="O113" s="473"/>
      <c r="P113" s="1254"/>
      <c r="T113" s="5379"/>
      <c r="U113" s="5379"/>
      <c r="V113" s="5379"/>
      <c r="W113" s="5379"/>
      <c r="X113" s="5379"/>
      <c r="Y113" s="5379"/>
      <c r="Z113" s="5379"/>
      <c r="AA113" s="5379"/>
      <c r="AB113" s="5379"/>
      <c r="AC113" s="5379"/>
      <c r="AD113" s="5379"/>
      <c r="AE113" s="5379"/>
      <c r="AF113" s="5379"/>
      <c r="AG113" s="5379"/>
      <c r="AH113" s="5379"/>
      <c r="AI113" s="5379"/>
      <c r="AJ113" s="5379"/>
      <c r="AK113" s="5379"/>
      <c r="AL113" s="5379"/>
      <c r="AM113" s="5379"/>
      <c r="AN113" s="5379"/>
      <c r="AO113" s="5379"/>
      <c r="AP113" s="5379"/>
      <c r="AQ113" s="5379"/>
      <c r="AR113" s="5379"/>
      <c r="AS113" s="5379"/>
      <c r="AT113" s="5379"/>
      <c r="AU113" s="5379"/>
      <c r="AV113" s="5379"/>
      <c r="AW113" s="5379"/>
      <c r="AX113" s="5379"/>
      <c r="AY113" s="5379"/>
      <c r="AZ113" s="5379"/>
      <c r="BA113" s="5379"/>
      <c r="BB113" s="5379"/>
      <c r="BC113" s="5379"/>
      <c r="BD113" s="5379"/>
      <c r="BE113" s="5379"/>
      <c r="BF113" s="5379"/>
      <c r="BG113" s="5379"/>
      <c r="BH113" s="5379"/>
      <c r="BI113" s="5379"/>
      <c r="BJ113" s="5379"/>
      <c r="BK113" s="5379"/>
      <c r="BL113" s="5379"/>
      <c r="BM113" s="5379"/>
      <c r="BN113" s="5379"/>
      <c r="BO113" s="5379"/>
      <c r="BP113" s="5379"/>
      <c r="BQ113" s="5379"/>
      <c r="BR113" s="5379"/>
      <c r="BS113" s="5379"/>
      <c r="BT113" s="5379"/>
      <c r="BU113" s="5379"/>
      <c r="BV113" s="5379"/>
      <c r="BW113" s="5379"/>
      <c r="BX113" s="5379"/>
      <c r="BY113" s="5379"/>
      <c r="BZ113" s="5379"/>
      <c r="CA113" s="5379"/>
      <c r="CB113" s="5379"/>
      <c r="CC113" s="5379"/>
      <c r="CD113" s="5379"/>
      <c r="CE113" s="5379"/>
      <c r="CF113" s="5379"/>
      <c r="CG113" s="5379"/>
      <c r="CH113" s="5379"/>
      <c r="CI113" s="5379"/>
      <c r="CJ113" s="5379"/>
      <c r="CK113" s="5379"/>
      <c r="CL113" s="5379"/>
      <c r="CM113" s="5379"/>
      <c r="CN113" s="5379"/>
      <c r="CO113" s="5379"/>
      <c r="CP113" s="5379"/>
      <c r="CQ113" s="5379"/>
      <c r="CR113" s="5379"/>
      <c r="CS113" s="5379"/>
      <c r="CT113" s="5379"/>
      <c r="CU113" s="5379"/>
      <c r="CV113" s="5379"/>
      <c r="CW113" s="5379"/>
      <c r="CX113" s="5379"/>
      <c r="CY113" s="5379"/>
      <c r="CZ113" s="5379"/>
      <c r="DA113" s="5379"/>
      <c r="DB113" s="5379"/>
      <c r="DC113" s="5379"/>
      <c r="DD113" s="5379"/>
      <c r="DE113" s="5380"/>
      <c r="DF113" s="5379"/>
      <c r="DG113" s="5379"/>
      <c r="DM113" s="1081">
        <v>18</v>
      </c>
    </row>
    <row r="114" spans="1:117" ht="29.25" customHeight="1">
      <c r="O114" s="473"/>
      <c r="P114" s="1254"/>
      <c r="S114" s="1179"/>
      <c r="T114" s="5379"/>
      <c r="U114" s="5379"/>
      <c r="V114" s="5379"/>
      <c r="W114" s="5379"/>
      <c r="X114" s="5379"/>
      <c r="Y114" s="5379"/>
      <c r="Z114" s="5379"/>
      <c r="AA114" s="5379"/>
      <c r="AB114" s="5379"/>
      <c r="AC114" s="5379"/>
      <c r="AD114" s="5379"/>
      <c r="AE114" s="5379"/>
      <c r="AF114" s="5379"/>
      <c r="AG114" s="5379"/>
      <c r="AH114" s="5379"/>
      <c r="AI114" s="5379"/>
      <c r="AJ114" s="5379"/>
      <c r="AK114" s="5379"/>
      <c r="AL114" s="5379"/>
      <c r="AM114" s="5379"/>
      <c r="AN114" s="5379"/>
      <c r="AO114" s="5379"/>
      <c r="AP114" s="5379"/>
      <c r="AQ114" s="5379"/>
      <c r="AR114" s="5379"/>
      <c r="AS114" s="5379"/>
      <c r="AT114" s="5379"/>
      <c r="AU114" s="5379"/>
      <c r="AV114" s="5379"/>
      <c r="AW114" s="5379"/>
      <c r="AX114" s="5379"/>
      <c r="AY114" s="5379"/>
      <c r="AZ114" s="5379"/>
      <c r="BA114" s="5379"/>
      <c r="BB114" s="5379"/>
      <c r="BC114" s="5379"/>
      <c r="BD114" s="5379"/>
      <c r="BE114" s="5379"/>
      <c r="BF114" s="5379"/>
      <c r="BG114" s="5379"/>
      <c r="BH114" s="5379"/>
      <c r="BI114" s="5379"/>
      <c r="BJ114" s="5379"/>
      <c r="BK114" s="5379"/>
      <c r="BL114" s="5379"/>
      <c r="BM114" s="5379"/>
      <c r="BN114" s="5379"/>
      <c r="BO114" s="5379"/>
      <c r="BP114" s="5379"/>
      <c r="BQ114" s="5379"/>
      <c r="BR114" s="5379"/>
      <c r="BS114" s="5379"/>
      <c r="BT114" s="5379"/>
      <c r="BU114" s="5379"/>
      <c r="BV114" s="5379"/>
      <c r="BW114" s="5379"/>
      <c r="BX114" s="5379"/>
      <c r="BY114" s="5379"/>
      <c r="BZ114" s="5379"/>
      <c r="CA114" s="5379"/>
      <c r="CB114" s="5379"/>
      <c r="CC114" s="5379"/>
      <c r="CD114" s="5379"/>
      <c r="CE114" s="5379"/>
      <c r="CF114" s="5379"/>
      <c r="CG114" s="5379"/>
      <c r="CH114" s="5379"/>
      <c r="CI114" s="5379"/>
      <c r="CJ114" s="5379"/>
      <c r="CK114" s="5379"/>
      <c r="CL114" s="5379"/>
      <c r="CM114" s="5379"/>
      <c r="CN114" s="5379"/>
      <c r="CO114" s="5379"/>
      <c r="CP114" s="5379"/>
      <c r="CQ114" s="5379"/>
      <c r="CR114" s="5379"/>
      <c r="CS114" s="5379"/>
      <c r="CT114" s="5379"/>
      <c r="CU114" s="5379"/>
      <c r="CV114" s="5379"/>
      <c r="CW114" s="5379"/>
      <c r="CX114" s="5379"/>
      <c r="CY114" s="5379"/>
      <c r="CZ114" s="5379"/>
      <c r="DA114" s="5379"/>
      <c r="DB114" s="5379"/>
      <c r="DC114" s="5379"/>
      <c r="DD114" s="5379"/>
      <c r="DE114" s="5380"/>
      <c r="DF114" s="5379"/>
      <c r="DG114" s="5379"/>
      <c r="DM114" s="1081">
        <v>28</v>
      </c>
    </row>
    <row r="115" spans="1:117" ht="22.5" hidden="1" customHeight="1">
      <c r="A115" s="1086" t="s">
        <v>84</v>
      </c>
      <c r="B115" s="1086">
        <v>0</v>
      </c>
      <c r="C115" s="1086">
        <v>0</v>
      </c>
      <c r="D115" s="1086">
        <v>0</v>
      </c>
      <c r="E115" s="1086">
        <v>0</v>
      </c>
      <c r="F115" s="1086">
        <v>0</v>
      </c>
      <c r="G115" s="1086">
        <v>0</v>
      </c>
      <c r="H115" s="1086">
        <v>0</v>
      </c>
      <c r="I115" s="1086">
        <v>0</v>
      </c>
      <c r="J115" s="1086">
        <v>0</v>
      </c>
      <c r="K115" s="1086">
        <v>0</v>
      </c>
      <c r="L115" s="1255">
        <v>0</v>
      </c>
      <c r="M115" s="1288">
        <v>0</v>
      </c>
      <c r="N115" s="1288">
        <v>0</v>
      </c>
      <c r="O115" s="1288">
        <v>0</v>
      </c>
      <c r="P115" s="1144">
        <v>3</v>
      </c>
      <c r="Q115" s="281">
        <v>3</v>
      </c>
      <c r="R115" s="281">
        <v>3</v>
      </c>
      <c r="S115" s="517">
        <v>12</v>
      </c>
      <c r="T115" s="1081">
        <v>35</v>
      </c>
      <c r="U115" s="1081">
        <v>0</v>
      </c>
      <c r="V115" s="1081">
        <v>0</v>
      </c>
      <c r="W115" s="1081">
        <v>0</v>
      </c>
      <c r="X115" s="1081">
        <v>0</v>
      </c>
      <c r="Y115" s="1081">
        <v>0</v>
      </c>
      <c r="Z115" s="1081">
        <v>0</v>
      </c>
      <c r="AA115" s="1081">
        <v>0</v>
      </c>
      <c r="AB115" s="1081">
        <v>0</v>
      </c>
      <c r="AC115" s="1081">
        <v>0</v>
      </c>
      <c r="AD115" s="1081">
        <v>24</v>
      </c>
      <c r="AE115" s="1081">
        <v>0</v>
      </c>
      <c r="AF115" s="1081">
        <v>24</v>
      </c>
      <c r="AG115" s="1081">
        <v>24</v>
      </c>
      <c r="AH115" s="1081">
        <v>11</v>
      </c>
      <c r="AI115" s="1081">
        <v>3</v>
      </c>
      <c r="AJ115" s="1081">
        <v>11</v>
      </c>
      <c r="AK115" s="1081">
        <v>0</v>
      </c>
      <c r="AL115" s="1561">
        <v>0</v>
      </c>
      <c r="AM115" s="1561">
        <v>0</v>
      </c>
      <c r="AN115" s="1561">
        <v>0</v>
      </c>
      <c r="AO115" s="1561">
        <v>0</v>
      </c>
      <c r="AP115" s="1561">
        <v>0</v>
      </c>
      <c r="AQ115" s="1561">
        <v>0</v>
      </c>
      <c r="AR115" s="1561">
        <v>0</v>
      </c>
      <c r="AS115" s="1561">
        <v>0</v>
      </c>
      <c r="AT115" s="1561">
        <v>0</v>
      </c>
      <c r="AU115" s="1561">
        <v>0</v>
      </c>
      <c r="AV115" s="1561">
        <v>0</v>
      </c>
      <c r="AW115" s="1561">
        <v>0</v>
      </c>
      <c r="AX115" s="1561">
        <v>0</v>
      </c>
      <c r="AY115" s="1561">
        <v>0</v>
      </c>
      <c r="AZ115" s="1561">
        <v>0</v>
      </c>
      <c r="BA115" s="1561">
        <v>0</v>
      </c>
      <c r="BB115" s="1561">
        <v>0</v>
      </c>
      <c r="BC115" s="1561">
        <v>0</v>
      </c>
      <c r="BD115" s="1561">
        <v>0</v>
      </c>
      <c r="BE115" s="1561">
        <v>0</v>
      </c>
      <c r="BF115" s="1561">
        <v>0</v>
      </c>
      <c r="BG115" s="1561">
        <v>0</v>
      </c>
      <c r="BH115" s="1561">
        <v>0</v>
      </c>
      <c r="BI115" s="1561">
        <v>0</v>
      </c>
      <c r="BJ115" s="1561">
        <v>0</v>
      </c>
      <c r="BK115" s="1561">
        <v>0</v>
      </c>
      <c r="BL115" s="1561">
        <v>0</v>
      </c>
      <c r="BM115" s="1561">
        <v>0</v>
      </c>
      <c r="BN115" s="1561">
        <v>0</v>
      </c>
      <c r="BO115" s="1561">
        <v>0</v>
      </c>
      <c r="BP115" s="1561">
        <v>0</v>
      </c>
      <c r="BQ115" s="1561">
        <v>0</v>
      </c>
      <c r="BR115" s="1561">
        <v>0</v>
      </c>
      <c r="BS115" s="1561">
        <v>0</v>
      </c>
      <c r="BT115" s="1561">
        <v>0</v>
      </c>
      <c r="BU115" s="1561">
        <v>0</v>
      </c>
      <c r="BV115" s="1561">
        <v>0</v>
      </c>
      <c r="BW115" s="1561">
        <v>0</v>
      </c>
      <c r="BX115" s="1561">
        <v>0</v>
      </c>
      <c r="BY115" s="1561">
        <v>0</v>
      </c>
      <c r="BZ115" s="1561">
        <v>0</v>
      </c>
      <c r="CA115" s="1561">
        <v>0</v>
      </c>
      <c r="CB115" s="1561">
        <v>0</v>
      </c>
      <c r="CC115" s="1561">
        <v>0</v>
      </c>
      <c r="CD115" s="1561">
        <v>0</v>
      </c>
      <c r="CE115" s="1561">
        <v>0</v>
      </c>
      <c r="CF115" s="1561">
        <v>0</v>
      </c>
      <c r="CG115" s="1561">
        <v>0</v>
      </c>
      <c r="CH115" s="1561">
        <v>0</v>
      </c>
      <c r="CI115" s="1561">
        <v>0</v>
      </c>
      <c r="CJ115" s="1561">
        <v>0</v>
      </c>
      <c r="CK115" s="1561">
        <v>0</v>
      </c>
      <c r="CL115" s="1561">
        <v>0</v>
      </c>
      <c r="CM115" s="1561">
        <v>0</v>
      </c>
      <c r="CN115" s="1561">
        <v>0</v>
      </c>
      <c r="CO115" s="1561">
        <v>0</v>
      </c>
      <c r="CP115" s="1561">
        <v>0</v>
      </c>
      <c r="CQ115" s="1561">
        <v>0</v>
      </c>
      <c r="CR115" s="1561">
        <v>0</v>
      </c>
      <c r="CS115" s="1561">
        <v>0</v>
      </c>
      <c r="CT115" s="1561">
        <v>0</v>
      </c>
      <c r="CU115" s="1561">
        <v>0</v>
      </c>
      <c r="CV115" s="1561">
        <v>0</v>
      </c>
      <c r="CW115" s="1561">
        <v>0</v>
      </c>
      <c r="CX115" s="1561">
        <v>0</v>
      </c>
      <c r="CY115" s="1561">
        <v>0</v>
      </c>
      <c r="CZ115" s="1561">
        <v>0</v>
      </c>
      <c r="DA115" s="1561">
        <v>0</v>
      </c>
      <c r="DB115" s="1561">
        <v>0</v>
      </c>
      <c r="DC115" s="1561">
        <v>0</v>
      </c>
      <c r="DD115" s="1561">
        <v>0</v>
      </c>
      <c r="DE115" s="5155">
        <v>0</v>
      </c>
      <c r="DF115" s="1081">
        <v>4</v>
      </c>
      <c r="DG115" s="1081">
        <v>115</v>
      </c>
      <c r="DH115" s="447">
        <v>10</v>
      </c>
      <c r="DI115" s="447">
        <v>10</v>
      </c>
      <c r="DJ115" s="447">
        <v>10</v>
      </c>
      <c r="DK115" s="447">
        <v>10</v>
      </c>
      <c r="DL115" s="447">
        <v>10</v>
      </c>
      <c r="DM115" s="1081">
        <v>23</v>
      </c>
    </row>
  </sheetData>
  <sheetProtection formatColumns="0" formatRows="0" insertRows="0" deleteColumns="0" deleteRows="0" sort="0" autoFilter="0"/>
  <mergeCells count="617">
    <mergeCell ref="Z99:Z100"/>
    <mergeCell ref="CV99:CV100"/>
    <mergeCell ref="CW99:CW100"/>
    <mergeCell ref="CT99:CT100"/>
    <mergeCell ref="DC99:DC100"/>
    <mergeCell ref="DD99:DD100"/>
    <mergeCell ref="DE99:DE100"/>
    <mergeCell ref="DB99:DB100"/>
    <mergeCell ref="AA99:AA100"/>
    <mergeCell ref="AB99:AB100"/>
    <mergeCell ref="AC99:AC100"/>
    <mergeCell ref="CE99:CE100"/>
    <mergeCell ref="CF99:CF100"/>
    <mergeCell ref="CG99:CG100"/>
    <mergeCell ref="CD99:CD100"/>
    <mergeCell ref="CM99:CM100"/>
    <mergeCell ref="CN99:CN100"/>
    <mergeCell ref="CO99:CO100"/>
    <mergeCell ref="CL99:CL100"/>
    <mergeCell ref="CU99:CU100"/>
    <mergeCell ref="BI99:BI100"/>
    <mergeCell ref="BF99:BF100"/>
    <mergeCell ref="BO99:BO100"/>
    <mergeCell ref="BP99:BP100"/>
    <mergeCell ref="BQ99:BQ100"/>
    <mergeCell ref="BN99:BN100"/>
    <mergeCell ref="BW99:BW100"/>
    <mergeCell ref="BX99:BX100"/>
    <mergeCell ref="BY99:BY100"/>
    <mergeCell ref="BV99:BV100"/>
    <mergeCell ref="DB57:DB58"/>
    <mergeCell ref="DC57:DC58"/>
    <mergeCell ref="DD57:DD58"/>
    <mergeCell ref="DE57:DE58"/>
    <mergeCell ref="DB71:DB72"/>
    <mergeCell ref="DC71:DC72"/>
    <mergeCell ref="DD71:DD72"/>
    <mergeCell ref="DE71:DE72"/>
    <mergeCell ref="DB85:DB86"/>
    <mergeCell ref="DC85:DC86"/>
    <mergeCell ref="DD85:DD86"/>
    <mergeCell ref="DE85:DE86"/>
    <mergeCell ref="DC8:DC9"/>
    <mergeCell ref="DD8:DD9"/>
    <mergeCell ref="DE8:DE9"/>
    <mergeCell ref="CX29:DD29"/>
    <mergeCell ref="CX30:DD30"/>
    <mergeCell ref="CX31:DD31"/>
    <mergeCell ref="CX32:DD32"/>
    <mergeCell ref="CX34:DD34"/>
    <mergeCell ref="CX35:DD35"/>
    <mergeCell ref="CT71:CT72"/>
    <mergeCell ref="CU71:CU72"/>
    <mergeCell ref="CV71:CV72"/>
    <mergeCell ref="CW71:CW72"/>
    <mergeCell ref="CT85:CT86"/>
    <mergeCell ref="CU85:CU86"/>
    <mergeCell ref="CV85:CV86"/>
    <mergeCell ref="CW85:CW86"/>
    <mergeCell ref="DB8:DB9"/>
    <mergeCell ref="CX37:DE37"/>
    <mergeCell ref="CX39:DD39"/>
    <mergeCell ref="DE39:DE41"/>
    <mergeCell ref="CX40:CX41"/>
    <mergeCell ref="CY40:CY41"/>
    <mergeCell ref="CZ40:DA40"/>
    <mergeCell ref="DB40:DD40"/>
    <mergeCell ref="DC41:DD41"/>
    <mergeCell ref="DC42:DD42"/>
    <mergeCell ref="DB49:DB50"/>
    <mergeCell ref="DC49:DC50"/>
    <mergeCell ref="DD49:DD50"/>
    <mergeCell ref="DE49:DE50"/>
    <mergeCell ref="DB53:DB54"/>
    <mergeCell ref="DC53:DC54"/>
    <mergeCell ref="CT49:CT50"/>
    <mergeCell ref="CU49:CU50"/>
    <mergeCell ref="CV49:CV50"/>
    <mergeCell ref="CW49:CW50"/>
    <mergeCell ref="CT53:CT54"/>
    <mergeCell ref="CU53:CU54"/>
    <mergeCell ref="CV53:CV54"/>
    <mergeCell ref="CW53:CW54"/>
    <mergeCell ref="CT57:CT58"/>
    <mergeCell ref="CU57:CU58"/>
    <mergeCell ref="CV57:CV58"/>
    <mergeCell ref="CW57:CW58"/>
    <mergeCell ref="CP35:CV35"/>
    <mergeCell ref="CP37:CW37"/>
    <mergeCell ref="CP39:CV39"/>
    <mergeCell ref="CW39:CW41"/>
    <mergeCell ref="CP40:CP41"/>
    <mergeCell ref="CQ40:CQ41"/>
    <mergeCell ref="CR40:CS40"/>
    <mergeCell ref="CT40:CV40"/>
    <mergeCell ref="CU41:CV41"/>
    <mergeCell ref="CT8:CT9"/>
    <mergeCell ref="CU8:CU9"/>
    <mergeCell ref="CV8:CV9"/>
    <mergeCell ref="CW8:CW9"/>
    <mergeCell ref="CP29:CV29"/>
    <mergeCell ref="CP30:CV30"/>
    <mergeCell ref="CP31:CV31"/>
    <mergeCell ref="CP32:CV32"/>
    <mergeCell ref="CP34:CV34"/>
    <mergeCell ref="CN57:CN58"/>
    <mergeCell ref="CO57:CO58"/>
    <mergeCell ref="CL71:CL72"/>
    <mergeCell ref="CM71:CM72"/>
    <mergeCell ref="CN71:CN72"/>
    <mergeCell ref="CO71:CO72"/>
    <mergeCell ref="CL85:CL86"/>
    <mergeCell ref="CM85:CM86"/>
    <mergeCell ref="CN85:CN86"/>
    <mergeCell ref="CO85:CO86"/>
    <mergeCell ref="CM8:CM9"/>
    <mergeCell ref="CN8:CN9"/>
    <mergeCell ref="CO8:CO9"/>
    <mergeCell ref="CH29:CN29"/>
    <mergeCell ref="CH30:CN30"/>
    <mergeCell ref="CH31:CN31"/>
    <mergeCell ref="CH32:CN32"/>
    <mergeCell ref="CH34:CN34"/>
    <mergeCell ref="CH35:CN35"/>
    <mergeCell ref="CD71:CD72"/>
    <mergeCell ref="CE71:CE72"/>
    <mergeCell ref="CF71:CF72"/>
    <mergeCell ref="CG71:CG72"/>
    <mergeCell ref="CD85:CD86"/>
    <mergeCell ref="CE85:CE86"/>
    <mergeCell ref="CF85:CF86"/>
    <mergeCell ref="CG85:CG86"/>
    <mergeCell ref="CL8:CL9"/>
    <mergeCell ref="CH37:CO37"/>
    <mergeCell ref="CH39:CN39"/>
    <mergeCell ref="CO39:CO41"/>
    <mergeCell ref="CH40:CH41"/>
    <mergeCell ref="CI40:CI41"/>
    <mergeCell ref="CJ40:CK40"/>
    <mergeCell ref="CL40:CN40"/>
    <mergeCell ref="CM41:CN41"/>
    <mergeCell ref="CM42:CN42"/>
    <mergeCell ref="CL49:CL50"/>
    <mergeCell ref="CM49:CM50"/>
    <mergeCell ref="CN49:CN50"/>
    <mergeCell ref="CO49:CO50"/>
    <mergeCell ref="CL53:CL54"/>
    <mergeCell ref="CM53:CM54"/>
    <mergeCell ref="CE8:CE9"/>
    <mergeCell ref="CF8:CF9"/>
    <mergeCell ref="CG8:CG9"/>
    <mergeCell ref="BZ29:CF29"/>
    <mergeCell ref="BZ30:CF30"/>
    <mergeCell ref="BZ31:CF31"/>
    <mergeCell ref="BZ32:CF32"/>
    <mergeCell ref="BZ34:CF34"/>
    <mergeCell ref="BZ35:CF35"/>
    <mergeCell ref="BV71:BV72"/>
    <mergeCell ref="BW71:BW72"/>
    <mergeCell ref="BX71:BX72"/>
    <mergeCell ref="BY71:BY72"/>
    <mergeCell ref="BV85:BV86"/>
    <mergeCell ref="BW85:BW86"/>
    <mergeCell ref="BX85:BX86"/>
    <mergeCell ref="BY85:BY86"/>
    <mergeCell ref="CD8:CD9"/>
    <mergeCell ref="BZ37:CG37"/>
    <mergeCell ref="BZ39:CF39"/>
    <mergeCell ref="CG39:CG41"/>
    <mergeCell ref="BZ40:BZ41"/>
    <mergeCell ref="CA40:CA41"/>
    <mergeCell ref="CB40:CC40"/>
    <mergeCell ref="CD40:CF40"/>
    <mergeCell ref="CE41:CF41"/>
    <mergeCell ref="CE42:CF42"/>
    <mergeCell ref="CD49:CD50"/>
    <mergeCell ref="CE49:CE50"/>
    <mergeCell ref="CF49:CF50"/>
    <mergeCell ref="CG49:CG50"/>
    <mergeCell ref="CD53:CD54"/>
    <mergeCell ref="CE53:CE54"/>
    <mergeCell ref="BV49:BV50"/>
    <mergeCell ref="BW49:BW50"/>
    <mergeCell ref="BX49:BX50"/>
    <mergeCell ref="BY49:BY50"/>
    <mergeCell ref="BV53:BV54"/>
    <mergeCell ref="BW53:BW54"/>
    <mergeCell ref="BX53:BX54"/>
    <mergeCell ref="BY53:BY54"/>
    <mergeCell ref="BV57:BV58"/>
    <mergeCell ref="BW57:BW58"/>
    <mergeCell ref="BX57:BX58"/>
    <mergeCell ref="BY57:BY58"/>
    <mergeCell ref="BQ71:BQ72"/>
    <mergeCell ref="BN85:BN86"/>
    <mergeCell ref="BO85:BO86"/>
    <mergeCell ref="BP85:BP86"/>
    <mergeCell ref="BQ85:BQ86"/>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Q49:BQ50"/>
    <mergeCell ref="BN53:BN54"/>
    <mergeCell ref="BO53:BO54"/>
    <mergeCell ref="BP53:BP54"/>
    <mergeCell ref="BQ53:BQ54"/>
    <mergeCell ref="BN57:BN58"/>
    <mergeCell ref="BO57:BO58"/>
    <mergeCell ref="BP57:BP58"/>
    <mergeCell ref="BQ57:BQ58"/>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H71:BH72"/>
    <mergeCell ref="BI71:BI72"/>
    <mergeCell ref="BF85:BF86"/>
    <mergeCell ref="BG85:BG86"/>
    <mergeCell ref="BH85:BH86"/>
    <mergeCell ref="BI85:BI86"/>
    <mergeCell ref="BN8:BN9"/>
    <mergeCell ref="BO8:BO9"/>
    <mergeCell ref="BP8:BP9"/>
    <mergeCell ref="BO42:BP42"/>
    <mergeCell ref="BN49:BN50"/>
    <mergeCell ref="BO49:BO50"/>
    <mergeCell ref="BP49:BP50"/>
    <mergeCell ref="BN71:BN72"/>
    <mergeCell ref="BO71:BO72"/>
    <mergeCell ref="BP71:BP72"/>
    <mergeCell ref="BF49:BF50"/>
    <mergeCell ref="BG49:BG50"/>
    <mergeCell ref="BH49:BH50"/>
    <mergeCell ref="BI49:BI50"/>
    <mergeCell ref="BF53:BF54"/>
    <mergeCell ref="BG53:BG54"/>
    <mergeCell ref="BH53:BH54"/>
    <mergeCell ref="BI53:BI54"/>
    <mergeCell ref="BF57:BF58"/>
    <mergeCell ref="BG57:BG58"/>
    <mergeCell ref="BH57:BH58"/>
    <mergeCell ref="BI57:BI58"/>
    <mergeCell ref="BB35:BH35"/>
    <mergeCell ref="BB37:BI37"/>
    <mergeCell ref="BB39:BH39"/>
    <mergeCell ref="BI39:BI41"/>
    <mergeCell ref="BB40:BB41"/>
    <mergeCell ref="BC40:BC41"/>
    <mergeCell ref="BD40:BE40"/>
    <mergeCell ref="BF40:BH40"/>
    <mergeCell ref="BG41:BH41"/>
    <mergeCell ref="BF8:BF9"/>
    <mergeCell ref="BG8:BG9"/>
    <mergeCell ref="BH8:BH9"/>
    <mergeCell ref="BI8:BI9"/>
    <mergeCell ref="BB29:BH29"/>
    <mergeCell ref="BB30:BH30"/>
    <mergeCell ref="BB31:BH31"/>
    <mergeCell ref="BB32:BH32"/>
    <mergeCell ref="BB34:BH34"/>
    <mergeCell ref="AX49:AX50"/>
    <mergeCell ref="AY49:AY50"/>
    <mergeCell ref="AZ49:AZ50"/>
    <mergeCell ref="BA49:BA50"/>
    <mergeCell ref="AX53:AX54"/>
    <mergeCell ref="AY53:AY54"/>
    <mergeCell ref="AZ53:AZ54"/>
    <mergeCell ref="BA53:BA54"/>
    <mergeCell ref="AX57:AX58"/>
    <mergeCell ref="AY57:AY58"/>
    <mergeCell ref="AZ57:AZ58"/>
    <mergeCell ref="BA57:BA58"/>
    <mergeCell ref="AT35:AZ35"/>
    <mergeCell ref="AT37:BA37"/>
    <mergeCell ref="AT39:AZ39"/>
    <mergeCell ref="BA39:BA41"/>
    <mergeCell ref="AT40:AT41"/>
    <mergeCell ref="AU40:AU41"/>
    <mergeCell ref="AV40:AW40"/>
    <mergeCell ref="AX40:AZ40"/>
    <mergeCell ref="AY41:AZ41"/>
    <mergeCell ref="AX8:AX9"/>
    <mergeCell ref="AY8:AY9"/>
    <mergeCell ref="AZ8:AZ9"/>
    <mergeCell ref="BA8:BA9"/>
    <mergeCell ref="AT29:AZ29"/>
    <mergeCell ref="AT30:AZ30"/>
    <mergeCell ref="AT31:AZ31"/>
    <mergeCell ref="AT32:AZ32"/>
    <mergeCell ref="AT34:AZ34"/>
    <mergeCell ref="V56:AC56"/>
    <mergeCell ref="AD56:DF56"/>
    <mergeCell ref="AK57:AK58"/>
    <mergeCell ref="J56:J59"/>
    <mergeCell ref="DG57:DG59"/>
    <mergeCell ref="K57:K58"/>
    <mergeCell ref="Q56:Q59"/>
    <mergeCell ref="AH57:AH58"/>
    <mergeCell ref="AI57:AI58"/>
    <mergeCell ref="AJ57:AJ58"/>
    <mergeCell ref="Z57:Z58"/>
    <mergeCell ref="AA57:AA58"/>
    <mergeCell ref="AB57:AB58"/>
    <mergeCell ref="AC57:AC58"/>
    <mergeCell ref="AP57:AP58"/>
    <mergeCell ref="AQ57:AQ58"/>
    <mergeCell ref="AR57:AR58"/>
    <mergeCell ref="AS57:AS58"/>
    <mergeCell ref="CD57:CD58"/>
    <mergeCell ref="CE57:CE58"/>
    <mergeCell ref="CF57:CF58"/>
    <mergeCell ref="CG57:CG58"/>
    <mergeCell ref="CL57:CL58"/>
    <mergeCell ref="CM57:CM58"/>
    <mergeCell ref="V52:AC52"/>
    <mergeCell ref="AD52:DF52"/>
    <mergeCell ref="AK53:AK54"/>
    <mergeCell ref="J52:J55"/>
    <mergeCell ref="DG53:DG55"/>
    <mergeCell ref="K53:K54"/>
    <mergeCell ref="Q52:Q55"/>
    <mergeCell ref="AH53:AH54"/>
    <mergeCell ref="AI53:AI54"/>
    <mergeCell ref="AJ53:AJ54"/>
    <mergeCell ref="Z53:Z54"/>
    <mergeCell ref="AA53:AA54"/>
    <mergeCell ref="AB53:AB54"/>
    <mergeCell ref="AC53:AC54"/>
    <mergeCell ref="AP53:AP54"/>
    <mergeCell ref="AQ53:AQ54"/>
    <mergeCell ref="AR53:AR54"/>
    <mergeCell ref="AS53:AS54"/>
    <mergeCell ref="CF53:CF54"/>
    <mergeCell ref="CG53:CG54"/>
    <mergeCell ref="CN53:CN54"/>
    <mergeCell ref="CO53:CO54"/>
    <mergeCell ref="DD53:DD54"/>
    <mergeCell ref="DE53:DE54"/>
    <mergeCell ref="AP49:AP50"/>
    <mergeCell ref="AQ49:AQ50"/>
    <mergeCell ref="AR49:AR50"/>
    <mergeCell ref="AS49:AS50"/>
    <mergeCell ref="AP71:AP72"/>
    <mergeCell ref="AQ71:AQ72"/>
    <mergeCell ref="AR71:AR72"/>
    <mergeCell ref="AS71:AS72"/>
    <mergeCell ref="AP85:AP86"/>
    <mergeCell ref="AQ85:AQ86"/>
    <mergeCell ref="AR85:AR86"/>
    <mergeCell ref="AS85:AS86"/>
    <mergeCell ref="AL35:AR35"/>
    <mergeCell ref="AL37:AS37"/>
    <mergeCell ref="AL39:AR39"/>
    <mergeCell ref="AS39:AS41"/>
    <mergeCell ref="AL40:AL41"/>
    <mergeCell ref="AM40:AM41"/>
    <mergeCell ref="AN40:AO40"/>
    <mergeCell ref="AP40:AR40"/>
    <mergeCell ref="AQ41:AR41"/>
    <mergeCell ref="AP8:AP9"/>
    <mergeCell ref="AQ8:AQ9"/>
    <mergeCell ref="AR8:AR9"/>
    <mergeCell ref="AS8:AS9"/>
    <mergeCell ref="AL29:AR29"/>
    <mergeCell ref="AL30:AR30"/>
    <mergeCell ref="AL31:AR31"/>
    <mergeCell ref="AL32:AR32"/>
    <mergeCell ref="AL34:AR34"/>
    <mergeCell ref="AK99:AK100"/>
    <mergeCell ref="E93:E106"/>
    <mergeCell ref="F94:F105"/>
    <mergeCell ref="G95:G104"/>
    <mergeCell ref="H96:H103"/>
    <mergeCell ref="I97:I102"/>
    <mergeCell ref="J98:J101"/>
    <mergeCell ref="DG99:DG101"/>
    <mergeCell ref="K99:K100"/>
    <mergeCell ref="P97:P102"/>
    <mergeCell ref="Q98:Q101"/>
    <mergeCell ref="AH99:AH100"/>
    <mergeCell ref="AI99:AI100"/>
    <mergeCell ref="AJ99:AJ100"/>
    <mergeCell ref="AP99:AP100"/>
    <mergeCell ref="AQ99:AQ100"/>
    <mergeCell ref="AR99:AR100"/>
    <mergeCell ref="AS99:AS100"/>
    <mergeCell ref="AY99:AY100"/>
    <mergeCell ref="AZ99:AZ100"/>
    <mergeCell ref="BA99:BA100"/>
    <mergeCell ref="AX99:AX100"/>
    <mergeCell ref="BG99:BG100"/>
    <mergeCell ref="BH99:BH100"/>
    <mergeCell ref="V98:AC98"/>
    <mergeCell ref="AD98:DF98"/>
    <mergeCell ref="V93:AC93"/>
    <mergeCell ref="AD93:DF93"/>
    <mergeCell ref="V94:AC94"/>
    <mergeCell ref="AD94:DF94"/>
    <mergeCell ref="V95:AC95"/>
    <mergeCell ref="AD95:DF95"/>
    <mergeCell ref="V96:AC96"/>
    <mergeCell ref="AD96:DF96"/>
    <mergeCell ref="V97:AC97"/>
    <mergeCell ref="AD97:DF97"/>
    <mergeCell ref="AK85:AK86"/>
    <mergeCell ref="E79:E92"/>
    <mergeCell ref="F80:F91"/>
    <mergeCell ref="G81:G90"/>
    <mergeCell ref="H82:H89"/>
    <mergeCell ref="I83:I88"/>
    <mergeCell ref="J84:J87"/>
    <mergeCell ref="DG85:DG87"/>
    <mergeCell ref="K85:K86"/>
    <mergeCell ref="P83:P88"/>
    <mergeCell ref="Q84:Q87"/>
    <mergeCell ref="AH85:AH86"/>
    <mergeCell ref="AI85:AI86"/>
    <mergeCell ref="AJ85:AJ86"/>
    <mergeCell ref="Z85:Z86"/>
    <mergeCell ref="AA85:AA86"/>
    <mergeCell ref="AB85:AB86"/>
    <mergeCell ref="AC85:AC86"/>
    <mergeCell ref="AX85:AX86"/>
    <mergeCell ref="AY85:AY86"/>
    <mergeCell ref="AZ85:AZ86"/>
    <mergeCell ref="BA85:BA86"/>
    <mergeCell ref="V84:AC84"/>
    <mergeCell ref="AD84:DF84"/>
    <mergeCell ref="V79:AC79"/>
    <mergeCell ref="AD79:DF79"/>
    <mergeCell ref="V80:AC80"/>
    <mergeCell ref="AD80:DF80"/>
    <mergeCell ref="V81:AC81"/>
    <mergeCell ref="AD81:DF81"/>
    <mergeCell ref="V82:AC82"/>
    <mergeCell ref="AD82:DF82"/>
    <mergeCell ref="V83:AC83"/>
    <mergeCell ref="AD83:DF83"/>
    <mergeCell ref="AK71:AK72"/>
    <mergeCell ref="E65:E78"/>
    <mergeCell ref="F66:F77"/>
    <mergeCell ref="G67:G76"/>
    <mergeCell ref="H68:H75"/>
    <mergeCell ref="I69:I74"/>
    <mergeCell ref="J70:J73"/>
    <mergeCell ref="DG71:DG73"/>
    <mergeCell ref="K71:K72"/>
    <mergeCell ref="P69:P74"/>
    <mergeCell ref="Q70:Q73"/>
    <mergeCell ref="AH71:AH72"/>
    <mergeCell ref="AI71:AI72"/>
    <mergeCell ref="AJ71:AJ72"/>
    <mergeCell ref="Z71:Z72"/>
    <mergeCell ref="AA71:AA72"/>
    <mergeCell ref="AB71:AB72"/>
    <mergeCell ref="AC71:AC72"/>
    <mergeCell ref="AX71:AX72"/>
    <mergeCell ref="AY71:AY72"/>
    <mergeCell ref="AZ71:AZ72"/>
    <mergeCell ref="BA71:BA72"/>
    <mergeCell ref="BF71:BF72"/>
    <mergeCell ref="BG71:BG72"/>
    <mergeCell ref="V70:AC70"/>
    <mergeCell ref="AD70:DF70"/>
    <mergeCell ref="V65:AC65"/>
    <mergeCell ref="AD65:DF65"/>
    <mergeCell ref="V66:AC66"/>
    <mergeCell ref="AD66:DF66"/>
    <mergeCell ref="V67:AC67"/>
    <mergeCell ref="AD67:DF67"/>
    <mergeCell ref="V68:AC68"/>
    <mergeCell ref="AD68:DF68"/>
    <mergeCell ref="V69:AC69"/>
    <mergeCell ref="AD69:DF69"/>
    <mergeCell ref="V43:AC43"/>
    <mergeCell ref="V44:AC44"/>
    <mergeCell ref="V45:AC45"/>
    <mergeCell ref="V46:AC46"/>
    <mergeCell ref="V47:AC47"/>
    <mergeCell ref="V48:AC48"/>
    <mergeCell ref="AD43:DF43"/>
    <mergeCell ref="AD44:DF44"/>
    <mergeCell ref="AD45:DF45"/>
    <mergeCell ref="AD46:DF46"/>
    <mergeCell ref="AD47:DF47"/>
    <mergeCell ref="AD48:DF48"/>
    <mergeCell ref="S26:AJ26"/>
    <mergeCell ref="S27:AJ27"/>
    <mergeCell ref="S29:T29"/>
    <mergeCell ref="S30:T30"/>
    <mergeCell ref="S31:T31"/>
    <mergeCell ref="S32:T32"/>
    <mergeCell ref="AD31:AJ31"/>
    <mergeCell ref="AD32:AJ32"/>
    <mergeCell ref="AD37:AK37"/>
    <mergeCell ref="AC49:AC50"/>
    <mergeCell ref="DG49:DG51"/>
    <mergeCell ref="DG8:DG10"/>
    <mergeCell ref="K8:K9"/>
    <mergeCell ref="P6:P11"/>
    <mergeCell ref="E43:E64"/>
    <mergeCell ref="F44:F63"/>
    <mergeCell ref="G45:G62"/>
    <mergeCell ref="H46:H61"/>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DF38"/>
    <mergeCell ref="DG38:DG41"/>
    <mergeCell ref="S39:S41"/>
    <mergeCell ref="T39:T41"/>
    <mergeCell ref="V39:AB39"/>
    <mergeCell ref="AC39:AC41"/>
    <mergeCell ref="DF39:DF41"/>
    <mergeCell ref="AI42:AJ42"/>
    <mergeCell ref="AD39:AJ39"/>
    <mergeCell ref="AK39:AK41"/>
    <mergeCell ref="AD40:AD41"/>
    <mergeCell ref="AE40:AE41"/>
    <mergeCell ref="AF40:AG40"/>
    <mergeCell ref="AH40:AJ40"/>
    <mergeCell ref="AI41:AJ41"/>
    <mergeCell ref="AQ42:AR42"/>
    <mergeCell ref="AY42:AZ42"/>
    <mergeCell ref="BG42:BH42"/>
    <mergeCell ref="CU42:CV42"/>
    <mergeCell ref="T112:DG112"/>
    <mergeCell ref="T113:DG113"/>
    <mergeCell ref="T114:DG114"/>
    <mergeCell ref="E2:E15"/>
    <mergeCell ref="F3:F14"/>
    <mergeCell ref="G4:G13"/>
    <mergeCell ref="H5:H12"/>
    <mergeCell ref="I6:I11"/>
    <mergeCell ref="J7:J10"/>
    <mergeCell ref="I47:I60"/>
    <mergeCell ref="J48:J51"/>
    <mergeCell ref="K49:K50"/>
    <mergeCell ref="P47:P60"/>
    <mergeCell ref="Q48:Q51"/>
    <mergeCell ref="AH49:AH50"/>
    <mergeCell ref="AI49:AI50"/>
    <mergeCell ref="AJ49:AJ50"/>
    <mergeCell ref="AK49:AK50"/>
    <mergeCell ref="T109:DG109"/>
    <mergeCell ref="W40:W41"/>
    <mergeCell ref="T110:DG110"/>
    <mergeCell ref="Z49:Z50"/>
    <mergeCell ref="AA49:AA50"/>
    <mergeCell ref="AB49:AB50"/>
    <mergeCell ref="V7:AC7"/>
    <mergeCell ref="AD7:DF7"/>
    <mergeCell ref="S34:T34"/>
    <mergeCell ref="V34:AB34"/>
    <mergeCell ref="AD34:AJ34"/>
    <mergeCell ref="S35:T35"/>
    <mergeCell ref="V35:AB35"/>
    <mergeCell ref="AD35:AJ35"/>
    <mergeCell ref="V2:AC2"/>
    <mergeCell ref="AD2:DF2"/>
    <mergeCell ref="V3:AC3"/>
    <mergeCell ref="AD3:DF3"/>
    <mergeCell ref="V4:AC4"/>
    <mergeCell ref="AD4:DF4"/>
    <mergeCell ref="V5:AC5"/>
    <mergeCell ref="AD5:DF5"/>
    <mergeCell ref="V6:AC6"/>
    <mergeCell ref="AD6:DF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635 AA131171 AA196707 AA262243 AA327779 AA393315 AA458851 AA524387 AA589923 AA655459 AA720995 AA786531 AA852067 AA917603 AA983139 AC131171 AC458851 AC196707 AC262243 AC327779 AC393315 AC524387 AC589923 AC655459 AC720995 AC786531 AC852067 AC917603 AC983139 AC65635 AI65635 AI131171 AI196707 AI262243 AI327779 AI393315 AI458851 AI524387 AI589923 AI655459 AI720995 AI786531 AI852067 AI917603 AI983139 AK327779:DE327779 AK393315:DE393315 AK49 AQ49 AS49 AY49 BA49 BG49 BI49 BO49 BQ49 BW49 BY49 CE49 CG49 CM49 CO49 CU49 CW49 DC49 DE49 AK524387:DE524387 AK8 AQ8 AS8 AY8 BA8 BG8 BI8 BO8 BQ8 BW8 BY8 CE8 CG8 CM8 CO8 CU8 CW8 DC8 DE8 AK589923:DE589923 AK655459:DE655459 AK17 AK720995:DE720995 AK786531:DE786531 AK852067:DE852067 AK917603:DE917603 AK983139:DE983139 AK65635:DE65635 AK131171:DE131171 AI49 AK458851:DE458851 AI8 AC8 AA8 AI17 AK196707:DE196707 AA49 AC49 AK262243:DE262243 AA71 AC71 AI71 AK71 AQ71 AS71 AY71 BA71 BG71 BI71 BO71 BQ71 BW71 BY71 CE71 CG71 CM71 CO71 CU71 CW71 DC71 DE71 AA85 AC85 AI85 AK85 AQ85 AS85 AY85 BA85 BG85 BI85 BO85 BQ85 BW85 BY85 CE85 CG85 CM85 CO85 CU85 CW85 DC85 DE85 AA99 AC99 AI99 AK99 AQ99 AS99 AY99 BA99 BG99 BI99 BO99 BQ99 BW99 BY99 CE99 CG99 CM99 CO99 CU99 CW99 DC99 DE99 AA53 AC53 AI53 AK53 AQ53 AS53 AY53 BA53 BG53 BI53 BO53 BQ53 BW53 BY53 CE53 CG53 CM53 CO53 CU53 CW53 DC53 DE53 AA57 AC57 AI57 AK57 AQ57 AS57 AY57 BA57 BG57 BI57 BO57 BQ57 BW57 BY57 CE57 CG57 CM57 CO57 CU57 CW57 DC57 DE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35 Z131171 Z196707 Z262243 Z327779 Z393315 Z458851 Z524387 Z589923 Z655459 Z720995 Z786531 Z852067 Z917603 Z983139 AB65635 AB131171 AB196707 AB262243 AB327779 AB393315 AB458851 AB524387 AB589923 AB655459 AB720995 AB786531 AB852067 AB917603 AB983139 Z8 AH65635 AH131171 AH196707 AH262243 AH327779 AH393315 AH458851 AH524387 AH589923 AH655459 AH720995 AH786531 AH852067 AH917603 AH983139 AJ65635 AJ131171 AJ196707 AJ262243 AJ327779 AJ393315 AJ458851 AJ524387 AJ589923 AJ655459 AJ720995 AJ786531 AJ852067 AJ917603 AJ983139 AJ49 AH49 AH8 AJ8 AB8 AH17 AJ17 Z49 AB49 Z71 AB71 AH71 AJ71 Z85 AB85 AH85 AJ85 Z99 AB99 AH99 AJ99 AP8 AR8 AP49 AR49 AP71 AR71 AP85 AR85 AP99 AR99 Z53 AB53 AH53 AJ53 AP53 AR53 Z57 AB57 AH57 AJ57 AP57 AR57 AX8 AZ8 AX49 AZ49 AX53 AZ53 AX57 AZ57 AX71 AZ71 AX85 AZ85 AX99 AZ99 BF8 BH8 BF49 BH49 BF53 BH53 BF57 BH57 BF71 BH71 BF85 BH85 BF99 BH99 BN8 BP8 BN49 BP49 BN53 BP53 BN57 BP57 BN71 BP71 BN85 BP85 BN99 BP99 BV8 BX8 BV49 BX49 BV53 BX53 BV57 BX57 BV71 BX71 BV85 BX85 BV99 BX99 CD8 CF8 CD49 CF49 CD53 CF53 CD57 CF57 CD71 CF71 CD85 CF85 CD99 CF99 CL8 CN8 CL49 CN49 CL53 CN53 CL57 CN57 CL71 CN71 CL85 CN85 CL99 CN99 CT8 CV8 CT49 CV49 CT53 CV53 CT57 CV57 CT71 CV71 CT85 CV85 CT99 CV99 DB8 DD8 DB49 DD49 DB53 DD53 DB57 DD57 DB71 DD71 DB85 DD85 DB99 DD99"/>
    <dataValidation type="list" allowBlank="1" showInputMessage="1" showErrorMessage="1" errorTitle="Ошибка" error="Выберите значение из списка" sqref="T65635 T131171 T196707 T262243 T327779 T393315 T458851 T524387 T589923 T655459 T720995 T786531 T852067 T917603 T983139">
      <formula1>kind_of_heat_transfer</formula1>
    </dataValidation>
    <dataValidation type="textLength" operator="lessThanOrEqual" allowBlank="1" showInputMessage="1" showErrorMessage="1" errorTitle="Ошибка" error="Допускается ввод не более 900 символов!" sqref="DG65629:DG65636 DG131165:DG131172 DG196701:DG196708 DG262237:DG262244 DG327773:DG327780 DG393309:DG393316 DG458845:DG458852 DG524381:DG524388 DG589917:DG589924 DG655453:DG655460 DG720989:DG720996 DG786525:DG786532 DG852061:DG852068 DG917597:DG917604 DG983133:DG983140">
      <formula1>900</formula1>
    </dataValidation>
    <dataValidation type="list" allowBlank="1" showInputMessage="1" showErrorMessage="1" errorTitle="Ошибка" error="Выберите значение из списка" sqref="V983137:W983137 V65633:W65633 V131169:W131169 V196705:W196705 V262241:W262241 V327777:W327777 V393313:W393313 V458849:W458849 V524385:W524385 V589921:W589921 V655457:W655457 V720993:W720993 V786529:W786529 V852065:W852065 V917601:W917601 AD983137:AE983137 AD65633:AE65633 AD131169:AE131169 AD196705:AE196705 AD262241:AE262241 AD327777:AE327777 AD393313:AE393313 AD458849:AE458849 AD524385:AE524385 AD589921:AE589921 AD655457:AE655457 AD720993:AE720993 AD786529:AE786529 AD852065:AE852065 AD917601:AE917601">
      <formula1>kind_of_scheme_in</formula1>
    </dataValidation>
    <dataValidation allowBlank="1" promptTitle="checkPeriodRange" sqref="Y65636 Y131172 Y196708 Y262244 Y327780 Y393316 Y458852 Y524388 Y589924 Y655460 Y720996 Y786532 Y852068 Y917604 Y983140 Y9 AG65636 AG131172 AG196708 AG262244 AG327780 AG393316 AG458852 AG524388 AG589924 AG655460 AG720996 AG786532 AG852068 AG917604 AG983140 AG9 Y50 AG18 AG50 Y72 AG72 Y86 AG86 Y100 AG100 AO9 AO50 AO72 AO86 AO100 Y54 AG54 AO54 Y58 AG58 AO58 AW9 AW50 AW54 AW58 AW72 AW86 AW100 BE9 BE50 BE54 BE58 BE72 BE86 BE100 BM9 BM50 BM54 BM58 BM72 BM86 BM100 BU9 BU50 BU54 BU58 BU72 BU86 BU100 CC9 CC50 CC54 CC58 CC72 CC86 CC100 CK9 CK50 CK54 CK58 CK72 CK86 CK100 CS9 CS50 CS54 CS58 CS72 CS86 CS100 DA9 DA50 DA54 DA58 DA72 DA86 DA100"/>
    <dataValidation type="list" allowBlank="1" showInputMessage="1" errorTitle="Ошибка" error="Выберите значение из списка" prompt="Выберите значение из списка" sqref="V983138:DF983138 V65634:DF65634 V131170:DF131170 V196706:DF196706 V262242:DF262242 V327778:DF327778 V393314:DF393314 V458850:DF458850 V524386:DF524386 V589922:DF589922 V655458:DF655458 V720994:DF720994 V786530:DF786530 V852066:DF852066 V917602:DF917602">
      <formula1>kind_of_cons</formula1>
    </dataValidation>
    <dataValidation allowBlank="1" sqref="S131173:DG131179 S196709:DG196715 S262245:DG262251 S327781:DG327787 S393317:DG393323 S458853:DG458859 S524389:DG524395 S589925:DG589931 S655461:DG655467 S720997:DG721003 S786533:DG786539 S852069:DG852075 S917605:DG917611 S983141:DG983147 S65637:DG6564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5381">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5373"/>
      <c r="W2" s="5374"/>
      <c r="X2" s="5374"/>
      <c r="Y2" s="5374"/>
      <c r="Z2" s="5374"/>
      <c r="AA2" s="5374"/>
      <c r="AB2" s="5374"/>
      <c r="AC2" s="5375"/>
      <c r="AD2" s="5373" t="e">
        <f>INDEX(PT_DIFFERENTIATION_NTAR,MATCH(A2,PT_DIFFERENTIATION_NTAR_ID,0))</f>
        <v>#N/A</v>
      </c>
      <c r="AE2" s="5374"/>
      <c r="AF2" s="5374"/>
      <c r="AG2" s="5374"/>
      <c r="AH2" s="5374"/>
      <c r="AI2" s="5374"/>
      <c r="AJ2" s="5374"/>
      <c r="AK2" s="5374"/>
      <c r="AL2" s="5375"/>
      <c r="AM2" s="1184" t="s">
        <v>423</v>
      </c>
      <c r="AO2" s="436"/>
      <c r="AP2" s="436" t="str">
        <f t="shared" ref="AP2:AP15" si="0">IF(T2="","",T2)</f>
        <v>Наименование тарифа</v>
      </c>
      <c r="AQ2" s="436"/>
      <c r="AR2" s="436"/>
      <c r="AS2" s="1081">
        <v>0</v>
      </c>
    </row>
    <row r="3" spans="1:45" ht="21" hidden="1" customHeight="1">
      <c r="A3" s="1289"/>
      <c r="B3" s="1289"/>
      <c r="C3" s="1289"/>
      <c r="D3" s="1289"/>
      <c r="E3" s="5382"/>
      <c r="F3" s="5381">
        <v>1</v>
      </c>
      <c r="G3" s="1289"/>
      <c r="H3" s="1289"/>
      <c r="I3" s="1289"/>
      <c r="J3" s="1289"/>
      <c r="K3" s="1289"/>
      <c r="L3" s="1290"/>
      <c r="M3" s="1291"/>
      <c r="N3" s="1291"/>
      <c r="O3" s="1291"/>
      <c r="P3" s="1258"/>
      <c r="Q3" s="288"/>
      <c r="R3" s="289"/>
      <c r="S3" s="1262" t="e">
        <f>INDEX(PT_DIFFERENTIATION_NUM_TER,MATCH(B3,PT_DIFFERENTIATION_TER_ID,0))</f>
        <v>#N/A</v>
      </c>
      <c r="T3" s="245" t="s">
        <v>424</v>
      </c>
      <c r="U3" s="237"/>
      <c r="V3" s="5373"/>
      <c r="W3" s="5374"/>
      <c r="X3" s="5374"/>
      <c r="Y3" s="5374"/>
      <c r="Z3" s="5374"/>
      <c r="AA3" s="5374"/>
      <c r="AB3" s="5374"/>
      <c r="AC3" s="5375"/>
      <c r="AD3" s="5373" t="e">
        <f>INDEX(PT_DIFFERENTIATION_TER,MATCH(B3,PT_DIFFERENTIATION_TER_ID,0))</f>
        <v>#N/A</v>
      </c>
      <c r="AE3" s="5374"/>
      <c r="AF3" s="5374"/>
      <c r="AG3" s="5374"/>
      <c r="AH3" s="5374"/>
      <c r="AI3" s="5374"/>
      <c r="AJ3" s="5374"/>
      <c r="AK3" s="5374"/>
      <c r="AL3" s="5375"/>
      <c r="AM3" s="1184" t="s">
        <v>425</v>
      </c>
      <c r="AO3" s="436"/>
      <c r="AP3" s="436" t="str">
        <f t="shared" si="0"/>
        <v>Территория действия тарифа</v>
      </c>
      <c r="AQ3" s="436"/>
      <c r="AR3" s="436"/>
      <c r="AS3" s="1081">
        <v>0</v>
      </c>
    </row>
    <row r="4" spans="1:45" ht="23.25" hidden="1" customHeight="1">
      <c r="A4" s="1289"/>
      <c r="B4" s="1289"/>
      <c r="C4" s="1289"/>
      <c r="D4" s="1289"/>
      <c r="E4" s="5382"/>
      <c r="F4" s="5382"/>
      <c r="G4" s="5381">
        <v>1</v>
      </c>
      <c r="H4" s="1289"/>
      <c r="I4" s="1289"/>
      <c r="J4" s="1289"/>
      <c r="K4" s="1289"/>
      <c r="L4" s="1290"/>
      <c r="M4" s="1291"/>
      <c r="N4" s="1291"/>
      <c r="O4" s="1291"/>
      <c r="P4" s="290"/>
      <c r="Q4" s="288"/>
      <c r="R4" s="289"/>
      <c r="S4" s="1262" t="e">
        <f>INDEX(PT_DIFFERENTIATION_NUM_CS,MATCH(C4,PT_DIFFERENTIATION_CS_ID,0))</f>
        <v>#N/A</v>
      </c>
      <c r="T4" s="246" t="s">
        <v>426</v>
      </c>
      <c r="U4" s="237"/>
      <c r="V4" s="5373"/>
      <c r="W4" s="5374"/>
      <c r="X4" s="5374"/>
      <c r="Y4" s="5374"/>
      <c r="Z4" s="5374"/>
      <c r="AA4" s="5374"/>
      <c r="AB4" s="5374"/>
      <c r="AC4" s="5375"/>
      <c r="AD4" s="5373" t="e">
        <f>INDEX(PT_DIFFERENTIATION_CS,MATCH(C4,PT_DIFFERENTIATION_CS_ID,0))</f>
        <v>#N/A</v>
      </c>
      <c r="AE4" s="5374"/>
      <c r="AF4" s="5374"/>
      <c r="AG4" s="5374"/>
      <c r="AH4" s="5374"/>
      <c r="AI4" s="5374"/>
      <c r="AJ4" s="5374"/>
      <c r="AK4" s="5374"/>
      <c r="AL4" s="5375"/>
      <c r="AM4" s="1184" t="s">
        <v>427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5382"/>
      <c r="F5" s="5382"/>
      <c r="G5" s="5382"/>
      <c r="H5" s="5381">
        <v>1</v>
      </c>
      <c r="I5" s="1289"/>
      <c r="J5" s="1289"/>
      <c r="K5" s="1289"/>
      <c r="L5" s="1290"/>
      <c r="M5" s="1291"/>
      <c r="N5" s="1291"/>
      <c r="O5" s="1291"/>
      <c r="P5" s="290"/>
      <c r="Q5" s="288"/>
      <c r="R5" s="289"/>
      <c r="S5" s="1262" t="e">
        <f>INDEX(PT_DIFFERENTIATION_NUM_IST_TE,MATCH(D5,PT_DIFFERENTIATION_IST_TE_ID,0))</f>
        <v>#N/A</v>
      </c>
      <c r="T5" s="247" t="s">
        <v>428</v>
      </c>
      <c r="U5" s="237"/>
      <c r="V5" s="5373"/>
      <c r="W5" s="5374"/>
      <c r="X5" s="5374"/>
      <c r="Y5" s="5374"/>
      <c r="Z5" s="5374"/>
      <c r="AA5" s="5374"/>
      <c r="AB5" s="5374"/>
      <c r="AC5" s="5375"/>
      <c r="AD5" s="5373" t="e">
        <f>INDEX(PT_DIFFERENTIATION_IST_TE,MATCH(D5,PT_DIFFERENTIATION_IST_TE_ID,0))</f>
        <v>#N/A</v>
      </c>
      <c r="AE5" s="5374"/>
      <c r="AF5" s="5374"/>
      <c r="AG5" s="5374"/>
      <c r="AH5" s="5374"/>
      <c r="AI5" s="5374"/>
      <c r="AJ5" s="5374"/>
      <c r="AK5" s="5374"/>
      <c r="AL5" s="5375"/>
      <c r="AM5" s="1184" t="s">
        <v>429</v>
      </c>
      <c r="AO5" s="436"/>
      <c r="AP5" s="436" t="str">
        <f t="shared" si="0"/>
        <v xml:space="preserve">Источник тепловой энергии  </v>
      </c>
      <c r="AQ5" s="436"/>
      <c r="AR5" s="436"/>
      <c r="AS5" s="1081">
        <v>0</v>
      </c>
    </row>
    <row r="6" spans="1:45" ht="47.25" hidden="1" customHeight="1">
      <c r="A6" s="1289"/>
      <c r="B6" s="1289"/>
      <c r="C6" s="1289"/>
      <c r="D6" s="1289"/>
      <c r="E6" s="5382"/>
      <c r="F6" s="5382"/>
      <c r="G6" s="5382"/>
      <c r="H6" s="5382"/>
      <c r="I6" s="5383" t="e">
        <f>S5&amp;".1"</f>
        <v>#N/A</v>
      </c>
      <c r="J6" s="1289"/>
      <c r="K6" s="1289"/>
      <c r="L6" s="1290" t="s">
        <v>430</v>
      </c>
      <c r="M6" s="473"/>
      <c r="P6" s="5385">
        <v>1</v>
      </c>
      <c r="Q6" s="1257"/>
      <c r="R6" s="292"/>
      <c r="S6" s="1262" t="e">
        <f>$I6</f>
        <v>#N/A</v>
      </c>
      <c r="T6" s="222" t="s">
        <v>431</v>
      </c>
      <c r="U6" s="237"/>
      <c r="V6" s="5366"/>
      <c r="W6" s="5367"/>
      <c r="X6" s="5367"/>
      <c r="Y6" s="5367"/>
      <c r="Z6" s="5367"/>
      <c r="AA6" s="5367"/>
      <c r="AB6" s="5367"/>
      <c r="AC6" s="5368"/>
      <c r="AD6" s="5366"/>
      <c r="AE6" s="5367"/>
      <c r="AF6" s="5367"/>
      <c r="AG6" s="5367"/>
      <c r="AH6" s="5367"/>
      <c r="AI6" s="5367"/>
      <c r="AJ6" s="5367"/>
      <c r="AK6" s="5367"/>
      <c r="AL6" s="5368"/>
      <c r="AM6" s="1184" t="s">
        <v>432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5382"/>
      <c r="F7" s="5382"/>
      <c r="G7" s="5382"/>
      <c r="H7" s="5382"/>
      <c r="I7" s="5384"/>
      <c r="J7" s="5383" t="e">
        <f>I6&amp;".1"</f>
        <v>#N/A</v>
      </c>
      <c r="K7" s="1289"/>
      <c r="L7" s="1290" t="s">
        <v>433</v>
      </c>
      <c r="M7" s="473"/>
      <c r="N7" s="1292"/>
      <c r="P7" s="5385"/>
      <c r="Q7" s="5385">
        <v>1</v>
      </c>
      <c r="R7" s="293"/>
      <c r="S7" s="1262" t="e">
        <f>$J7</f>
        <v>#N/A</v>
      </c>
      <c r="T7" s="223" t="s">
        <v>434</v>
      </c>
      <c r="U7" s="237"/>
      <c r="V7" s="5366"/>
      <c r="W7" s="5367"/>
      <c r="X7" s="5367"/>
      <c r="Y7" s="5367"/>
      <c r="Z7" s="5367"/>
      <c r="AA7" s="5367"/>
      <c r="AB7" s="5367"/>
      <c r="AC7" s="5368"/>
      <c r="AD7" s="5366"/>
      <c r="AE7" s="5367"/>
      <c r="AF7" s="5367"/>
      <c r="AG7" s="5367"/>
      <c r="AH7" s="5367"/>
      <c r="AI7" s="5367"/>
      <c r="AJ7" s="5367"/>
      <c r="AK7" s="5367"/>
      <c r="AL7" s="5368"/>
      <c r="AM7" s="1184" t="s">
        <v>435</v>
      </c>
      <c r="AO7" s="436"/>
      <c r="AP7" s="436" t="str">
        <f t="shared" si="0"/>
        <v>Группа потребителей</v>
      </c>
      <c r="AQ7" s="436"/>
      <c r="AR7" s="436"/>
      <c r="AS7" s="1081">
        <v>0</v>
      </c>
    </row>
    <row r="8" spans="1:45" ht="21" hidden="1" customHeight="1">
      <c r="A8" s="1289"/>
      <c r="B8" s="1289"/>
      <c r="C8" s="1289"/>
      <c r="D8" s="1289"/>
      <c r="E8" s="5382"/>
      <c r="F8" s="5382"/>
      <c r="G8" s="5382"/>
      <c r="H8" s="5382"/>
      <c r="I8" s="5384"/>
      <c r="J8" s="5384"/>
      <c r="K8" s="5383" t="e">
        <f>J7&amp;".1"</f>
        <v>#N/A</v>
      </c>
      <c r="L8" s="1290" t="s">
        <v>436</v>
      </c>
      <c r="M8" s="473"/>
      <c r="N8" s="1292"/>
      <c r="O8" s="1292"/>
      <c r="P8" s="5385"/>
      <c r="Q8" s="5385"/>
      <c r="R8" s="293">
        <v>1</v>
      </c>
      <c r="S8" s="1262" t="e">
        <f>$K8</f>
        <v>#N/A</v>
      </c>
      <c r="T8" s="1273"/>
      <c r="U8" s="237"/>
      <c r="V8" s="687"/>
      <c r="W8" s="262"/>
      <c r="X8" s="687"/>
      <c r="Y8" s="1183"/>
      <c r="Z8" s="5386"/>
      <c r="AA8" s="5245" t="s">
        <v>65</v>
      </c>
      <c r="AB8" s="5386"/>
      <c r="AC8" s="5245" t="s">
        <v>65</v>
      </c>
      <c r="AD8" s="687"/>
      <c r="AE8" s="262"/>
      <c r="AF8" s="687"/>
      <c r="AG8" s="1183"/>
      <c r="AH8" s="5386"/>
      <c r="AI8" s="5245" t="s">
        <v>65</v>
      </c>
      <c r="AJ8" s="5386"/>
      <c r="AK8" s="5245" t="s">
        <v>65</v>
      </c>
      <c r="AL8" s="262"/>
      <c r="AM8" s="5405" t="s">
        <v>437</v>
      </c>
      <c r="AN8" s="447" t="e">
        <f ca="1">STRCHECKDATE(V9:AL9)</f>
        <v>#NAME?</v>
      </c>
      <c r="AO8" s="436"/>
      <c r="AP8" s="436" t="str">
        <f t="shared" si="0"/>
        <v/>
      </c>
      <c r="AQ8" s="436"/>
      <c r="AR8" s="436"/>
      <c r="AS8" s="1081">
        <v>0</v>
      </c>
    </row>
    <row r="9" spans="1:45" ht="0.75" hidden="1" customHeight="1">
      <c r="A9" s="1289"/>
      <c r="B9" s="1289"/>
      <c r="C9" s="1289"/>
      <c r="D9" s="1289"/>
      <c r="E9" s="5382"/>
      <c r="F9" s="5382"/>
      <c r="G9" s="5382"/>
      <c r="H9" s="5382"/>
      <c r="I9" s="5384"/>
      <c r="J9" s="5384"/>
      <c r="K9" s="5383"/>
      <c r="L9" s="1290"/>
      <c r="M9" s="473"/>
      <c r="N9" s="1292"/>
      <c r="O9" s="1292"/>
      <c r="P9" s="5385"/>
      <c r="Q9" s="5385"/>
      <c r="R9" s="293"/>
      <c r="S9" s="1268"/>
      <c r="T9" s="237"/>
      <c r="U9" s="237"/>
      <c r="V9" s="262"/>
      <c r="W9" s="262"/>
      <c r="X9" s="262"/>
      <c r="Y9" s="265" t="str">
        <f>Z8&amp;"-"&amp;AB8</f>
        <v>-</v>
      </c>
      <c r="Z9" s="5387"/>
      <c r="AA9" s="5245"/>
      <c r="AB9" s="5387"/>
      <c r="AC9" s="5245"/>
      <c r="AD9" s="262"/>
      <c r="AE9" s="262"/>
      <c r="AF9" s="262"/>
      <c r="AG9" s="265" t="str">
        <f>AH8&amp;"-"&amp;AJ8</f>
        <v>-</v>
      </c>
      <c r="AH9" s="5387"/>
      <c r="AI9" s="5245"/>
      <c r="AJ9" s="5387"/>
      <c r="AK9" s="5245"/>
      <c r="AL9" s="262"/>
      <c r="AM9" s="5406"/>
      <c r="AO9" s="436"/>
      <c r="AP9" s="436" t="str">
        <f t="shared" si="0"/>
        <v/>
      </c>
      <c r="AQ9" s="436"/>
      <c r="AR9" s="436"/>
      <c r="AS9" s="1081">
        <v>0</v>
      </c>
    </row>
    <row r="10" spans="1:45" ht="15" hidden="1" customHeight="1">
      <c r="A10" s="1289"/>
      <c r="B10" s="1289"/>
      <c r="C10" s="1289"/>
      <c r="D10" s="1289"/>
      <c r="E10" s="5382"/>
      <c r="F10" s="5382"/>
      <c r="G10" s="5382"/>
      <c r="H10" s="5382"/>
      <c r="I10" s="5384"/>
      <c r="J10" s="5383"/>
      <c r="K10" s="1289"/>
      <c r="L10" s="1290"/>
      <c r="M10" s="473"/>
      <c r="N10" s="1292"/>
      <c r="P10" s="5385"/>
      <c r="Q10" s="5385"/>
      <c r="R10" s="292"/>
      <c r="S10" s="1204"/>
      <c r="T10" s="225" t="s">
        <v>438</v>
      </c>
      <c r="U10" s="303"/>
      <c r="V10" s="303"/>
      <c r="W10" s="303"/>
      <c r="X10" s="303"/>
      <c r="Y10" s="303"/>
      <c r="Z10" s="303"/>
      <c r="AA10" s="303"/>
      <c r="AB10" s="303"/>
      <c r="AC10" s="303"/>
      <c r="AD10" s="303"/>
      <c r="AE10" s="303"/>
      <c r="AF10" s="303"/>
      <c r="AG10" s="303"/>
      <c r="AH10" s="303"/>
      <c r="AI10" s="303"/>
      <c r="AJ10" s="303"/>
      <c r="AK10" s="303"/>
      <c r="AL10" s="261"/>
      <c r="AM10" s="540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5382"/>
      <c r="F11" s="5382"/>
      <c r="G11" s="5382"/>
      <c r="H11" s="5382"/>
      <c r="I11" s="5383"/>
      <c r="J11" s="1289"/>
      <c r="K11" s="1289"/>
      <c r="L11" s="1290"/>
      <c r="M11" s="473"/>
      <c r="P11" s="5385"/>
      <c r="Q11" s="1257"/>
      <c r="R11" s="292"/>
      <c r="S11" s="1204"/>
      <c r="T11" s="224" t="s">
        <v>439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5382"/>
      <c r="F12" s="5382"/>
      <c r="G12" s="5382"/>
      <c r="H12" s="5381"/>
      <c r="I12" s="1289"/>
      <c r="J12" s="1289"/>
      <c r="K12" s="1289"/>
      <c r="L12" s="1290"/>
      <c r="M12" s="1291"/>
      <c r="N12" s="1291"/>
      <c r="O12" s="473"/>
      <c r="P12" s="296"/>
      <c r="Q12" s="311"/>
      <c r="R12" s="291"/>
      <c r="S12" s="1204"/>
      <c r="T12" s="301" t="s">
        <v>440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5382"/>
      <c r="F13" s="5382"/>
      <c r="G13" s="5381"/>
      <c r="H13" s="1240"/>
      <c r="I13" s="1240"/>
      <c r="J13" s="1240"/>
      <c r="K13" s="1240"/>
      <c r="L13" s="1265"/>
      <c r="M13" s="1241"/>
      <c r="N13" s="1241"/>
      <c r="P13" s="1242"/>
      <c r="Q13" s="1243"/>
      <c r="R13" s="1242"/>
      <c r="S13" s="1244"/>
      <c r="T13" s="1245" t="s">
        <v>163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5382"/>
      <c r="F14" s="5381"/>
      <c r="G14" s="1240"/>
      <c r="H14" s="1240"/>
      <c r="I14" s="1240"/>
      <c r="J14" s="1240"/>
      <c r="K14" s="1240"/>
      <c r="L14" s="1265"/>
      <c r="M14" s="1247"/>
      <c r="N14" s="1247"/>
      <c r="P14" s="1242"/>
      <c r="Q14" s="1243"/>
      <c r="R14" s="1242"/>
      <c r="S14" s="1248"/>
      <c r="T14" s="1249" t="s">
        <v>164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5381"/>
      <c r="F15" s="1240"/>
      <c r="G15" s="1240"/>
      <c r="H15" s="1240"/>
      <c r="I15" s="1240"/>
      <c r="J15" s="1240"/>
      <c r="K15" s="1240"/>
      <c r="L15" s="1265"/>
      <c r="M15" s="1247"/>
      <c r="N15" s="1247"/>
      <c r="P15" s="1242"/>
      <c r="Q15" s="1243"/>
      <c r="R15" s="1242"/>
      <c r="S15" s="1248"/>
      <c r="T15" s="1251" t="s">
        <v>165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5378"/>
      <c r="AI17" s="5377" t="s">
        <v>65</v>
      </c>
      <c r="AJ17" s="5378"/>
      <c r="AK17" s="5377" t="s">
        <v>65</v>
      </c>
      <c r="AS17" s="1081">
        <v>0</v>
      </c>
    </row>
    <row r="18" spans="1:45" ht="14.25" hidden="1" customHeight="1">
      <c r="AD18" s="1286"/>
      <c r="AE18" s="1286"/>
      <c r="AF18" s="1286"/>
      <c r="AG18" s="265" t="str">
        <f>AH17&amp;"-"&amp;AJ17</f>
        <v>-</v>
      </c>
      <c r="AH18" s="5377"/>
      <c r="AI18" s="5377"/>
      <c r="AJ18" s="5377"/>
      <c r="AK18" s="5377"/>
      <c r="AS18" s="1081">
        <v>0</v>
      </c>
    </row>
    <row r="19" spans="1:45" ht="14.25" hidden="1" customHeight="1">
      <c r="AK19" s="264"/>
      <c r="AS19" s="1081">
        <v>0</v>
      </c>
    </row>
    <row r="20" spans="1:45" s="1292" customFormat="1" ht="22.5" hidden="1" customHeight="1">
      <c r="L20" s="1255"/>
      <c r="M20" s="1288"/>
      <c r="N20" s="1288"/>
      <c r="O20" s="1293" t="s">
        <v>441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442</v>
      </c>
      <c r="P22" s="1288"/>
      <c r="Q22" s="1297"/>
      <c r="R22" s="1297"/>
      <c r="S22" s="665"/>
      <c r="T22" s="1086" t="s">
        <v>443</v>
      </c>
      <c r="AA22" s="124" t="s">
        <v>444</v>
      </c>
      <c r="AC22" s="124" t="s">
        <v>445</v>
      </c>
      <c r="AD22" s="1086" t="s">
        <v>443</v>
      </c>
      <c r="AI22" s="124" t="s">
        <v>446</v>
      </c>
      <c r="AK22" s="124" t="s">
        <v>445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535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359"/>
      <c r="U26" s="5359"/>
      <c r="V26" s="5359"/>
      <c r="W26" s="5359"/>
      <c r="X26" s="5359"/>
      <c r="Y26" s="5359"/>
      <c r="Z26" s="5359"/>
      <c r="AA26" s="5359"/>
      <c r="AB26" s="5359"/>
      <c r="AC26" s="5359"/>
      <c r="AD26" s="5359"/>
      <c r="AE26" s="5359"/>
      <c r="AF26" s="5359"/>
      <c r="AG26" s="5359"/>
      <c r="AH26" s="5359"/>
      <c r="AI26" s="5359"/>
      <c r="AJ26" s="5359"/>
      <c r="AK26" s="1169"/>
      <c r="AS26" s="1081">
        <v>14</v>
      </c>
    </row>
    <row r="27" spans="1:45" ht="14.65" customHeight="1">
      <c r="Q27" s="312"/>
      <c r="R27" s="312"/>
      <c r="S27" s="5331" t="str">
        <f>IF(org=0,"Не определено",org)</f>
        <v>ПАО "ТГК-1" филиал "Невский"</v>
      </c>
      <c r="T27" s="5331"/>
      <c r="U27" s="5331"/>
      <c r="V27" s="5331"/>
      <c r="W27" s="5331"/>
      <c r="X27" s="5331"/>
      <c r="Y27" s="5331"/>
      <c r="Z27" s="5331"/>
      <c r="AA27" s="5331"/>
      <c r="AB27" s="5331"/>
      <c r="AC27" s="5331"/>
      <c r="AD27" s="5331"/>
      <c r="AE27" s="5331"/>
      <c r="AF27" s="5331"/>
      <c r="AG27" s="5331"/>
      <c r="AH27" s="5331"/>
      <c r="AI27" s="5331"/>
      <c r="AJ27" s="5331"/>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5370" t="s">
        <v>42</v>
      </c>
      <c r="T29" s="5370"/>
      <c r="U29" s="1298"/>
      <c r="V29" s="5372" t="str">
        <f>IF(TITLE_NAME_OR_PR_CHANGE="",IF(TITLE_NAME_OR_PR="","",TITLE_NAME_OR_PR),TITLE_NAME_OR_PR_CHANGE)</f>
        <v>Комитет по тарифам Санкт-Петербурга</v>
      </c>
      <c r="W29" s="5372"/>
      <c r="X29" s="5372"/>
      <c r="Y29" s="5372"/>
      <c r="Z29" s="5372"/>
      <c r="AA29" s="5372"/>
      <c r="AB29" s="5372"/>
      <c r="AC29" s="263"/>
      <c r="AD29" s="5372" t="str">
        <f>IF(TITLE_NAME_OR_PR_CHANGE="",IF(TITLE_NAME_OR_PR="","",TITLE_NAME_OR_PR),TITLE_NAME_OR_PR_CHANGE)</f>
        <v>Комитет по тарифам Санкт-Петербурга</v>
      </c>
      <c r="AE29" s="5372"/>
      <c r="AF29" s="5372"/>
      <c r="AG29" s="5372"/>
      <c r="AH29" s="5372"/>
      <c r="AI29" s="5372"/>
      <c r="AJ29" s="5372"/>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5370" t="s">
        <v>447</v>
      </c>
      <c r="T30" s="5370"/>
      <c r="U30" s="1298"/>
      <c r="V30" s="5371">
        <f>IF(TITLE_DATE_PR_CHANGE="",IF(TITLE_DATE_PR="","",TITLE_DATE_PR),TITLE_DATE_PR_CHANGE)</f>
        <v>45470</v>
      </c>
      <c r="W30" s="5371"/>
      <c r="X30" s="5371"/>
      <c r="Y30" s="5371"/>
      <c r="Z30" s="5371"/>
      <c r="AA30" s="5371"/>
      <c r="AB30" s="5371"/>
      <c r="AC30" s="263"/>
      <c r="AD30" s="5371">
        <f>IF(TITLE_DATE_PR_CHANGE="",IF(TITLE_DATE_PR="","",TITLE_DATE_PR),TITLE_DATE_PR_CHANGE)</f>
        <v>45470</v>
      </c>
      <c r="AE30" s="5371"/>
      <c r="AF30" s="5371"/>
      <c r="AG30" s="5371"/>
      <c r="AH30" s="5371"/>
      <c r="AI30" s="5371"/>
      <c r="AJ30" s="5371"/>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5370" t="s">
        <v>448</v>
      </c>
      <c r="T31" s="5370"/>
      <c r="U31" s="1298"/>
      <c r="V31" s="5372" t="str">
        <f>IF(TITLE_NUMBER_PR_CHANGE="",IF(TITLE_NUMBER_PR="","",TITLE_NUMBER_PR),TITLE_NUMBER_PR_CHANGE)</f>
        <v>94-р</v>
      </c>
      <c r="W31" s="5372"/>
      <c r="X31" s="5372"/>
      <c r="Y31" s="5372"/>
      <c r="Z31" s="5372"/>
      <c r="AA31" s="5372"/>
      <c r="AB31" s="5372"/>
      <c r="AC31" s="263"/>
      <c r="AD31" s="5372" t="str">
        <f>IF(TITLE_NUMBER_PR_CHANGE="",IF(TITLE_NUMBER_PR="","",TITLE_NUMBER_PR),TITLE_NUMBER_PR_CHANGE)</f>
        <v>94-р</v>
      </c>
      <c r="AE31" s="5372"/>
      <c r="AF31" s="5372"/>
      <c r="AG31" s="5372"/>
      <c r="AH31" s="5372"/>
      <c r="AI31" s="5372"/>
      <c r="AJ31" s="5372"/>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5370" t="s">
        <v>44</v>
      </c>
      <c r="T32" s="5370"/>
      <c r="U32" s="1298"/>
      <c r="V32" s="5372" t="str">
        <f>IF(TITLE_IST_PUB_CHANGE="",IF(TITLE_IST_PUB="","",TITLE_IST_PUB),TITLE_IST_PUB_CHANGE)</f>
        <v>http://publication.pravo.gov.ru/document/7801202407010029</v>
      </c>
      <c r="W32" s="5372"/>
      <c r="X32" s="5372"/>
      <c r="Y32" s="5372"/>
      <c r="Z32" s="5372"/>
      <c r="AA32" s="5372"/>
      <c r="AB32" s="5372"/>
      <c r="AC32" s="263"/>
      <c r="AD32" s="5372" t="str">
        <f>IF(TITLE_IST_PUB_CHANGE="",IF(TITLE_IST_PUB="","",TITLE_IST_PUB),TITLE_IST_PUB_CHANGE)</f>
        <v>http://publication.pravo.gov.ru/document/7801202407010029</v>
      </c>
      <c r="AE32" s="5372"/>
      <c r="AF32" s="5372"/>
      <c r="AG32" s="5372"/>
      <c r="AH32" s="5372"/>
      <c r="AI32" s="5372"/>
      <c r="AJ32" s="5372"/>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5370" t="s">
        <v>449</v>
      </c>
      <c r="T34" s="5370"/>
      <c r="U34" s="1298"/>
      <c r="V34" s="5371">
        <f>IF(TITLE_DATE_PR_CHANGE="",IF(TITLE_DATE_PR="","",TITLE_DATE_PR),TITLE_DATE_PR_CHANGE)</f>
        <v>45470</v>
      </c>
      <c r="W34" s="5371"/>
      <c r="X34" s="5371"/>
      <c r="Y34" s="5371"/>
      <c r="Z34" s="5371"/>
      <c r="AA34" s="5371"/>
      <c r="AB34" s="5371"/>
      <c r="AC34" s="263"/>
      <c r="AD34" s="5371">
        <f>IF(TITLE_DATE_PR_CHANGE="",IF(TITLE_DATE_PR="","",TITLE_DATE_PR),TITLE_DATE_PR_CHANGE)</f>
        <v>45470</v>
      </c>
      <c r="AE34" s="5371"/>
      <c r="AF34" s="5371"/>
      <c r="AG34" s="5371"/>
      <c r="AH34" s="5371"/>
      <c r="AI34" s="5371"/>
      <c r="AJ34" s="5371"/>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5370" t="s">
        <v>450</v>
      </c>
      <c r="T35" s="5370"/>
      <c r="U35" s="1298"/>
      <c r="V35" s="5372" t="str">
        <f>IF(TITLE_NUMBER_PR_CHANGE="",IF(TITLE_NUMBER_PR="","",TITLE_NUMBER_PR),TITLE_NUMBER_PR_CHANGE)</f>
        <v>94-р</v>
      </c>
      <c r="W35" s="5372"/>
      <c r="X35" s="5372"/>
      <c r="Y35" s="5372"/>
      <c r="Z35" s="5372"/>
      <c r="AA35" s="5372"/>
      <c r="AB35" s="5372"/>
      <c r="AC35" s="263"/>
      <c r="AD35" s="5372" t="str">
        <f>IF(TITLE_NUMBER_PR_CHANGE="",IF(TITLE_NUMBER_PR="","",TITLE_NUMBER_PR),TITLE_NUMBER_PR_CHANGE)</f>
        <v>94-р</v>
      </c>
      <c r="AE35" s="5372"/>
      <c r="AF35" s="5372"/>
      <c r="AG35" s="5372"/>
      <c r="AH35" s="5372"/>
      <c r="AI35" s="5372"/>
      <c r="AJ35" s="5372"/>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451</v>
      </c>
      <c r="AD36" s="263"/>
      <c r="AE36" s="263"/>
      <c r="AF36" s="263"/>
      <c r="AG36" s="263"/>
      <c r="AH36" s="263"/>
      <c r="AI36" s="263"/>
      <c r="AJ36" s="263"/>
      <c r="AK36" s="215" t="s">
        <v>451</v>
      </c>
      <c r="AN36" s="304"/>
      <c r="AO36" s="304"/>
      <c r="AP36" s="304"/>
      <c r="AQ36" s="304"/>
      <c r="AR36" s="304"/>
      <c r="AS36" s="354">
        <v>0</v>
      </c>
    </row>
    <row r="37" spans="1:45" ht="14.65" customHeight="1">
      <c r="Q37" s="312"/>
      <c r="R37" s="312"/>
      <c r="S37" s="1201"/>
      <c r="T37" s="299"/>
      <c r="U37" s="1170"/>
      <c r="V37" s="5393"/>
      <c r="W37" s="5393"/>
      <c r="X37" s="5393"/>
      <c r="Y37" s="5393"/>
      <c r="Z37" s="5393"/>
      <c r="AA37" s="5393"/>
      <c r="AB37" s="5393"/>
      <c r="AC37" s="5393"/>
      <c r="AD37" s="5393"/>
      <c r="AE37" s="5393"/>
      <c r="AF37" s="5393"/>
      <c r="AG37" s="5393"/>
      <c r="AH37" s="5393"/>
      <c r="AI37" s="5393"/>
      <c r="AJ37" s="5393"/>
      <c r="AK37" s="5393"/>
      <c r="AS37" s="1081">
        <v>14</v>
      </c>
    </row>
    <row r="38" spans="1:45" ht="14.65" customHeight="1">
      <c r="Q38" s="312"/>
      <c r="R38" s="312"/>
      <c r="S38" s="5235" t="s">
        <v>327</v>
      </c>
      <c r="T38" s="5235"/>
      <c r="U38" s="5235"/>
      <c r="V38" s="5235"/>
      <c r="W38" s="5235"/>
      <c r="X38" s="5235"/>
      <c r="Y38" s="5235"/>
      <c r="Z38" s="5235"/>
      <c r="AA38" s="5235"/>
      <c r="AB38" s="5235"/>
      <c r="AC38" s="5235"/>
      <c r="AD38" s="5235"/>
      <c r="AE38" s="5235"/>
      <c r="AF38" s="5235"/>
      <c r="AG38" s="5235"/>
      <c r="AH38" s="5235"/>
      <c r="AI38" s="5235"/>
      <c r="AJ38" s="5235"/>
      <c r="AK38" s="5235"/>
      <c r="AL38" s="5235"/>
      <c r="AM38" s="5235" t="s">
        <v>328</v>
      </c>
      <c r="AS38" s="1081">
        <v>14</v>
      </c>
    </row>
    <row r="39" spans="1:45" ht="14.65" customHeight="1">
      <c r="Q39" s="312"/>
      <c r="R39" s="312"/>
      <c r="S39" s="5395" t="s">
        <v>90</v>
      </c>
      <c r="T39" s="5339" t="s">
        <v>452</v>
      </c>
      <c r="U39" s="238"/>
      <c r="V39" s="5396" t="s">
        <v>453</v>
      </c>
      <c r="W39" s="5397"/>
      <c r="X39" s="5397"/>
      <c r="Y39" s="5397"/>
      <c r="Z39" s="5397"/>
      <c r="AA39" s="5397"/>
      <c r="AB39" s="5398"/>
      <c r="AC39" s="5399" t="s">
        <v>454</v>
      </c>
      <c r="AD39" s="5396" t="s">
        <v>453</v>
      </c>
      <c r="AE39" s="5397"/>
      <c r="AF39" s="5397"/>
      <c r="AG39" s="5397"/>
      <c r="AH39" s="5397"/>
      <c r="AI39" s="5397"/>
      <c r="AJ39" s="5398"/>
      <c r="AK39" s="5399" t="s">
        <v>455</v>
      </c>
      <c r="AL39" s="5402" t="s">
        <v>456</v>
      </c>
      <c r="AM39" s="5235"/>
      <c r="AS39" s="1081">
        <v>14</v>
      </c>
    </row>
    <row r="40" spans="1:45" ht="35.65" customHeight="1">
      <c r="Q40" s="312"/>
      <c r="R40" s="312"/>
      <c r="S40" s="5395"/>
      <c r="T40" s="5339"/>
      <c r="U40" s="960"/>
      <c r="V40" s="5311" t="s">
        <v>457</v>
      </c>
      <c r="W40" s="5390" t="s">
        <v>458</v>
      </c>
      <c r="X40" s="5217" t="s">
        <v>459</v>
      </c>
      <c r="Y40" s="5216"/>
      <c r="Z40" s="5217" t="s">
        <v>477</v>
      </c>
      <c r="AA40" s="5222"/>
      <c r="AB40" s="5216"/>
      <c r="AC40" s="5400"/>
      <c r="AD40" s="5311" t="s">
        <v>457</v>
      </c>
      <c r="AE40" s="5390" t="s">
        <v>458</v>
      </c>
      <c r="AF40" s="5217" t="s">
        <v>459</v>
      </c>
      <c r="AG40" s="5216"/>
      <c r="AH40" s="5217" t="s">
        <v>460</v>
      </c>
      <c r="AI40" s="5222"/>
      <c r="AJ40" s="5216"/>
      <c r="AK40" s="5400"/>
      <c r="AL40" s="5403"/>
      <c r="AM40" s="5235"/>
      <c r="AS40" s="1081">
        <v>34</v>
      </c>
    </row>
    <row r="41" spans="1:45" ht="35.65" customHeight="1">
      <c r="A41" s="1296"/>
      <c r="B41" s="1296" t="s">
        <v>137</v>
      </c>
      <c r="C41" s="1296" t="s">
        <v>138</v>
      </c>
      <c r="D41" s="1296" t="s">
        <v>139</v>
      </c>
      <c r="E41" s="1290" t="s">
        <v>461</v>
      </c>
      <c r="F41" s="1290" t="s">
        <v>462</v>
      </c>
      <c r="G41" s="1290" t="s">
        <v>463</v>
      </c>
      <c r="H41" s="1290" t="s">
        <v>464</v>
      </c>
      <c r="I41" s="1290" t="s">
        <v>465</v>
      </c>
      <c r="J41" s="1290" t="s">
        <v>466</v>
      </c>
      <c r="K41" s="1290" t="s">
        <v>467</v>
      </c>
      <c r="L41" s="1290" t="s">
        <v>442</v>
      </c>
      <c r="Q41" s="312"/>
      <c r="R41" s="312"/>
      <c r="S41" s="5395"/>
      <c r="T41" s="5339"/>
      <c r="U41" s="239"/>
      <c r="V41" s="5364"/>
      <c r="W41" s="5391"/>
      <c r="X41" s="1148" t="s">
        <v>468</v>
      </c>
      <c r="Y41" s="1148" t="s">
        <v>469</v>
      </c>
      <c r="Z41" s="1264" t="s">
        <v>470</v>
      </c>
      <c r="AA41" s="5344" t="s">
        <v>471</v>
      </c>
      <c r="AB41" s="5358"/>
      <c r="AC41" s="5401"/>
      <c r="AD41" s="5364"/>
      <c r="AE41" s="5391"/>
      <c r="AF41" s="1148" t="s">
        <v>468</v>
      </c>
      <c r="AG41" s="1148" t="s">
        <v>469</v>
      </c>
      <c r="AH41" s="1264" t="s">
        <v>470</v>
      </c>
      <c r="AI41" s="5344" t="s">
        <v>471</v>
      </c>
      <c r="AJ41" s="5358"/>
      <c r="AK41" s="5401"/>
      <c r="AL41" s="5404"/>
      <c r="AM41" s="5235"/>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5392">
        <f ca="1">OFFSET(AA42,0,-1)+1</f>
        <v>4</v>
      </c>
      <c r="AB42" s="5392"/>
      <c r="AC42" s="1261">
        <f ca="1">OFFSET(AC42,0,-2)+1</f>
        <v>5</v>
      </c>
      <c r="AD42" s="1261">
        <f ca="1">OFFSET(AD42,0,-1)+1</f>
        <v>6</v>
      </c>
      <c r="AE42" s="1261"/>
      <c r="AF42" s="1261">
        <f ca="1">OFFSET(AF42,0,-1)+1</f>
        <v>1</v>
      </c>
      <c r="AG42" s="1261">
        <f ca="1">OFFSET(AG42,0,-1)+1</f>
        <v>2</v>
      </c>
      <c r="AH42" s="1261">
        <f ca="1">OFFSET(AH42,0,-1)+1</f>
        <v>3</v>
      </c>
      <c r="AI42" s="5392">
        <f ca="1">OFFSET(AI42,0,-1)+1</f>
        <v>4</v>
      </c>
      <c r="AJ42" s="5392"/>
      <c r="AK42" s="1261">
        <f ca="1">OFFSET(AK42,0,-2)+1</f>
        <v>5</v>
      </c>
      <c r="AL42" s="1171">
        <f ca="1">OFFSET(AL42,0,-1)</f>
        <v>5</v>
      </c>
      <c r="AM42" s="1261">
        <f ca="1">OFFSET(AM42,0,-1)+1</f>
        <v>6</v>
      </c>
      <c r="AN42" s="447"/>
      <c r="AO42" s="447"/>
      <c r="AP42" s="447"/>
      <c r="AQ42" s="447"/>
      <c r="AR42" s="447"/>
      <c r="AS42" s="432">
        <v>0</v>
      </c>
    </row>
    <row r="43" spans="1:45" ht="21.95" customHeight="1">
      <c r="A43" s="1289" t="s">
        <v>185</v>
      </c>
      <c r="B43" s="1289"/>
      <c r="C43" s="1289"/>
      <c r="D43" s="1289"/>
      <c r="E43" s="538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5373"/>
      <c r="W43" s="5374"/>
      <c r="X43" s="5374"/>
      <c r="Y43" s="5374"/>
      <c r="Z43" s="5374"/>
      <c r="AA43" s="5374"/>
      <c r="AB43" s="5374"/>
      <c r="AC43" s="5375"/>
      <c r="AD43" s="5373" t="str">
        <f>INDEX(PT_DIFFERENTIATION_NTAR,MATCH(A43,PT_DIFFERENTIATION_NTAR_ID,0))</f>
        <v/>
      </c>
      <c r="AE43" s="5374"/>
      <c r="AF43" s="5374"/>
      <c r="AG43" s="5374"/>
      <c r="AH43" s="5374"/>
      <c r="AI43" s="5374"/>
      <c r="AJ43" s="5374"/>
      <c r="AK43" s="5374"/>
      <c r="AL43" s="537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185</v>
      </c>
      <c r="B44" s="1289" t="s">
        <v>186</v>
      </c>
      <c r="C44" s="1289"/>
      <c r="D44" s="1289"/>
      <c r="E44" s="5382"/>
      <c r="F44" s="5381">
        <v>1</v>
      </c>
      <c r="G44" s="1289"/>
      <c r="H44" s="1289"/>
      <c r="I44" s="1289"/>
      <c r="J44" s="1289"/>
      <c r="K44" s="1289"/>
      <c r="L44" s="1290"/>
      <c r="M44" s="1291"/>
      <c r="N44" s="1291"/>
      <c r="O44" s="1291"/>
      <c r="P44" s="1258"/>
      <c r="Q44" s="288"/>
      <c r="R44" s="289"/>
      <c r="S44" s="1262" t="str">
        <f>INDEX(PT_DIFFERENTIATION_NUM_TER,MATCH(B44,PT_DIFFERENTIATION_TER_ID,0))</f>
        <v>.</v>
      </c>
      <c r="T44" s="245" t="s">
        <v>424</v>
      </c>
      <c r="U44" s="237"/>
      <c r="V44" s="5373"/>
      <c r="W44" s="5374"/>
      <c r="X44" s="5374"/>
      <c r="Y44" s="5374"/>
      <c r="Z44" s="5374"/>
      <c r="AA44" s="5374"/>
      <c r="AB44" s="5374"/>
      <c r="AC44" s="5375"/>
      <c r="AD44" s="5373" t="str">
        <f>INDEX(PT_DIFFERENTIATION_TER,MATCH(B44,PT_DIFFERENTIATION_TER_ID,0))</f>
        <v/>
      </c>
      <c r="AE44" s="5374"/>
      <c r="AF44" s="5374"/>
      <c r="AG44" s="5374"/>
      <c r="AH44" s="5374"/>
      <c r="AI44" s="5374"/>
      <c r="AJ44" s="5374"/>
      <c r="AK44" s="5374"/>
      <c r="AL44" s="5375"/>
      <c r="AM44" s="1184" t="s">
        <v>425</v>
      </c>
      <c r="AO44" s="436"/>
      <c r="AP44" s="436" t="str">
        <f t="shared" si="1"/>
        <v>Территория действия тарифа</v>
      </c>
      <c r="AQ44" s="436"/>
      <c r="AR44" s="436"/>
      <c r="AS44" s="1081">
        <v>21</v>
      </c>
    </row>
    <row r="45" spans="1:45" ht="24" customHeight="1">
      <c r="A45" s="1289" t="s">
        <v>185</v>
      </c>
      <c r="B45" s="1289" t="s">
        <v>186</v>
      </c>
      <c r="C45" s="1289" t="s">
        <v>187</v>
      </c>
      <c r="D45" s="1289"/>
      <c r="E45" s="5382"/>
      <c r="F45" s="5382"/>
      <c r="G45" s="5381">
        <v>1</v>
      </c>
      <c r="H45" s="1289"/>
      <c r="I45" s="1289"/>
      <c r="J45" s="1289"/>
      <c r="K45" s="1289"/>
      <c r="L45" s="1290"/>
      <c r="M45" s="1291"/>
      <c r="N45" s="1291"/>
      <c r="O45" s="1291"/>
      <c r="P45" s="290"/>
      <c r="Q45" s="288"/>
      <c r="R45" s="289"/>
      <c r="S45" s="1262" t="str">
        <f>INDEX(PT_DIFFERENTIATION_NUM_CS,MATCH(C45,PT_DIFFERENTIATION_CS_ID,0))</f>
        <v>..</v>
      </c>
      <c r="T45" s="246" t="s">
        <v>426</v>
      </c>
      <c r="U45" s="237"/>
      <c r="V45" s="5373"/>
      <c r="W45" s="5374"/>
      <c r="X45" s="5374"/>
      <c r="Y45" s="5374"/>
      <c r="Z45" s="5374"/>
      <c r="AA45" s="5374"/>
      <c r="AB45" s="5374"/>
      <c r="AC45" s="5375"/>
      <c r="AD45" s="5373" t="str">
        <f>INDEX(PT_DIFFERENTIATION_CS,MATCH(C45,PT_DIFFERENTIATION_CS_ID,0))</f>
        <v/>
      </c>
      <c r="AE45" s="5374"/>
      <c r="AF45" s="5374"/>
      <c r="AG45" s="5374"/>
      <c r="AH45" s="5374"/>
      <c r="AI45" s="5374"/>
      <c r="AJ45" s="5374"/>
      <c r="AK45" s="5374"/>
      <c r="AL45" s="5375"/>
      <c r="AM45" s="1184" t="s">
        <v>427</v>
      </c>
      <c r="AO45" s="436"/>
      <c r="AP45" s="436" t="str">
        <f t="shared" si="1"/>
        <v xml:space="preserve">Наименование системы теплоснабжения </v>
      </c>
      <c r="AQ45" s="436"/>
      <c r="AR45" s="436"/>
      <c r="AS45" s="1081">
        <v>23</v>
      </c>
    </row>
    <row r="46" spans="1:45" ht="21.95" customHeight="1">
      <c r="A46" s="1289" t="s">
        <v>185</v>
      </c>
      <c r="B46" s="1289" t="s">
        <v>186</v>
      </c>
      <c r="C46" s="1289" t="s">
        <v>187</v>
      </c>
      <c r="D46" s="1289" t="s">
        <v>188</v>
      </c>
      <c r="E46" s="5382"/>
      <c r="F46" s="5382"/>
      <c r="G46" s="5382"/>
      <c r="H46" s="5381">
        <v>1</v>
      </c>
      <c r="I46" s="1289"/>
      <c r="J46" s="1289"/>
      <c r="K46" s="1289"/>
      <c r="L46" s="1290"/>
      <c r="M46" s="1291"/>
      <c r="N46" s="1291"/>
      <c r="O46" s="1291"/>
      <c r="P46" s="290"/>
      <c r="Q46" s="288"/>
      <c r="R46" s="289"/>
      <c r="S46" s="1262" t="str">
        <f>INDEX(PT_DIFFERENTIATION_NUM_IST_TE,MATCH(D46,PT_DIFFERENTIATION_IST_TE_ID,0))</f>
        <v>...</v>
      </c>
      <c r="T46" s="247" t="s">
        <v>428</v>
      </c>
      <c r="U46" s="237"/>
      <c r="V46" s="5373"/>
      <c r="W46" s="5374"/>
      <c r="X46" s="5374"/>
      <c r="Y46" s="5374"/>
      <c r="Z46" s="5374"/>
      <c r="AA46" s="5374"/>
      <c r="AB46" s="5374"/>
      <c r="AC46" s="5375"/>
      <c r="AD46" s="5373" t="str">
        <f>INDEX(PT_DIFFERENTIATION_IST_TE,MATCH(D46,PT_DIFFERENTIATION_IST_TE_ID,0))</f>
        <v/>
      </c>
      <c r="AE46" s="5374"/>
      <c r="AF46" s="5374"/>
      <c r="AG46" s="5374"/>
      <c r="AH46" s="5374"/>
      <c r="AI46" s="5374"/>
      <c r="AJ46" s="5374"/>
      <c r="AK46" s="5374"/>
      <c r="AL46" s="5375"/>
      <c r="AM46" s="1184" t="s">
        <v>429</v>
      </c>
      <c r="AO46" s="436"/>
      <c r="AP46" s="436" t="str">
        <f t="shared" si="1"/>
        <v xml:space="preserve">Источник тепловой энергии  </v>
      </c>
      <c r="AQ46" s="436"/>
      <c r="AR46" s="436"/>
      <c r="AS46" s="1081">
        <v>21</v>
      </c>
    </row>
    <row r="47" spans="1:45" ht="49.5" customHeight="1">
      <c r="A47" s="1289" t="s">
        <v>185</v>
      </c>
      <c r="B47" s="1289" t="s">
        <v>186</v>
      </c>
      <c r="C47" s="1289" t="s">
        <v>187</v>
      </c>
      <c r="D47" s="1289" t="s">
        <v>188</v>
      </c>
      <c r="E47" s="5382"/>
      <c r="F47" s="5382"/>
      <c r="G47" s="5382"/>
      <c r="H47" s="5382"/>
      <c r="I47" s="5383" t="str">
        <f>S46&amp;".1"</f>
        <v>....1</v>
      </c>
      <c r="J47" s="1289"/>
      <c r="K47" s="1289"/>
      <c r="L47" s="1290" t="s">
        <v>430</v>
      </c>
      <c r="P47" s="5385">
        <v>1</v>
      </c>
      <c r="Q47" s="1257"/>
      <c r="R47" s="292"/>
      <c r="S47" s="1262" t="str">
        <f>$I47</f>
        <v>....1</v>
      </c>
      <c r="T47" s="222" t="s">
        <v>431</v>
      </c>
      <c r="U47" s="237"/>
      <c r="V47" s="5366"/>
      <c r="W47" s="5367"/>
      <c r="X47" s="5367"/>
      <c r="Y47" s="5367"/>
      <c r="Z47" s="5367"/>
      <c r="AA47" s="5367"/>
      <c r="AB47" s="5367"/>
      <c r="AC47" s="5368"/>
      <c r="AD47" s="5366"/>
      <c r="AE47" s="5367"/>
      <c r="AF47" s="5367"/>
      <c r="AG47" s="5367"/>
      <c r="AH47" s="5367"/>
      <c r="AI47" s="5367"/>
      <c r="AJ47" s="5367"/>
      <c r="AK47" s="5367"/>
      <c r="AL47" s="5368"/>
      <c r="AM47" s="1184" t="s">
        <v>432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185</v>
      </c>
      <c r="B48" s="1289" t="s">
        <v>186</v>
      </c>
      <c r="C48" s="1289" t="s">
        <v>187</v>
      </c>
      <c r="D48" s="1289" t="s">
        <v>188</v>
      </c>
      <c r="E48" s="5382"/>
      <c r="F48" s="5382"/>
      <c r="G48" s="5382"/>
      <c r="H48" s="5382"/>
      <c r="I48" s="5384"/>
      <c r="J48" s="5383" t="str">
        <f>I47&amp;".1"</f>
        <v>....1.1</v>
      </c>
      <c r="K48" s="1289"/>
      <c r="L48" s="1290" t="s">
        <v>433</v>
      </c>
      <c r="P48" s="5385"/>
      <c r="Q48" s="5385">
        <v>1</v>
      </c>
      <c r="R48" s="293"/>
      <c r="S48" s="1262" t="str">
        <f>$J48</f>
        <v>....1.1</v>
      </c>
      <c r="T48" s="223" t="s">
        <v>434</v>
      </c>
      <c r="U48" s="237"/>
      <c r="V48" s="5366"/>
      <c r="W48" s="5367"/>
      <c r="X48" s="5367"/>
      <c r="Y48" s="5367"/>
      <c r="Z48" s="5367"/>
      <c r="AA48" s="5367"/>
      <c r="AB48" s="5367"/>
      <c r="AC48" s="5368"/>
      <c r="AD48" s="5366"/>
      <c r="AE48" s="5367"/>
      <c r="AF48" s="5367"/>
      <c r="AG48" s="5367"/>
      <c r="AH48" s="5367"/>
      <c r="AI48" s="5367"/>
      <c r="AJ48" s="5367"/>
      <c r="AK48" s="5367"/>
      <c r="AL48" s="5368"/>
      <c r="AM48" s="1184" t="s">
        <v>435</v>
      </c>
      <c r="AO48" s="436"/>
      <c r="AP48" s="436" t="str">
        <f t="shared" si="1"/>
        <v>Группа потребителей</v>
      </c>
      <c r="AQ48" s="436"/>
      <c r="AR48" s="436"/>
      <c r="AS48" s="1081">
        <v>21</v>
      </c>
    </row>
    <row r="49" spans="1:45" ht="21.95" customHeight="1">
      <c r="A49" s="1289" t="s">
        <v>185</v>
      </c>
      <c r="B49" s="1289" t="s">
        <v>186</v>
      </c>
      <c r="C49" s="1289" t="s">
        <v>187</v>
      </c>
      <c r="D49" s="1289" t="s">
        <v>188</v>
      </c>
      <c r="E49" s="5382"/>
      <c r="F49" s="5382"/>
      <c r="G49" s="5382"/>
      <c r="H49" s="5382"/>
      <c r="I49" s="5384"/>
      <c r="J49" s="5384"/>
      <c r="K49" s="5383" t="str">
        <f>J48&amp;".1"</f>
        <v>....1.1.1</v>
      </c>
      <c r="L49" s="1290" t="s">
        <v>436</v>
      </c>
      <c r="P49" s="5385"/>
      <c r="Q49" s="5385"/>
      <c r="R49" s="293">
        <v>1</v>
      </c>
      <c r="S49" s="1262" t="str">
        <f>$K49</f>
        <v>....1.1.1</v>
      </c>
      <c r="T49" s="1273"/>
      <c r="U49" s="237"/>
      <c r="V49" s="687"/>
      <c r="W49" s="262"/>
      <c r="X49" s="687"/>
      <c r="Y49" s="1183"/>
      <c r="Z49" s="5386"/>
      <c r="AA49" s="5245" t="s">
        <v>65</v>
      </c>
      <c r="AB49" s="5386"/>
      <c r="AC49" s="5245" t="s">
        <v>65</v>
      </c>
      <c r="AD49" s="687"/>
      <c r="AE49" s="262"/>
      <c r="AF49" s="687"/>
      <c r="AG49" s="1183"/>
      <c r="AH49" s="5386"/>
      <c r="AI49" s="5245" t="s">
        <v>65</v>
      </c>
      <c r="AJ49" s="5388"/>
      <c r="AK49" s="5245" t="s">
        <v>65</v>
      </c>
      <c r="AL49" s="1274"/>
      <c r="AM49" s="5405" t="s">
        <v>437</v>
      </c>
      <c r="AN49" s="447" t="e">
        <f ca="1">STRCHECKDATE(V50:AL50)</f>
        <v>#NAME?</v>
      </c>
      <c r="AO49" s="436"/>
      <c r="AP49" s="436" t="str">
        <f t="shared" si="1"/>
        <v/>
      </c>
      <c r="AQ49" s="436"/>
      <c r="AR49" s="436"/>
      <c r="AS49" s="1081">
        <v>21</v>
      </c>
    </row>
    <row r="50" spans="1:45" ht="1.1499999999999999" customHeight="1">
      <c r="A50" s="1289" t="s">
        <v>185</v>
      </c>
      <c r="B50" s="1289" t="s">
        <v>186</v>
      </c>
      <c r="C50" s="1289" t="s">
        <v>187</v>
      </c>
      <c r="D50" s="1289" t="s">
        <v>188</v>
      </c>
      <c r="E50" s="5382"/>
      <c r="F50" s="5382"/>
      <c r="G50" s="5382"/>
      <c r="H50" s="5382"/>
      <c r="I50" s="5384"/>
      <c r="J50" s="5384"/>
      <c r="K50" s="5383"/>
      <c r="L50" s="1290"/>
      <c r="P50" s="5385"/>
      <c r="Q50" s="5385"/>
      <c r="R50" s="293"/>
      <c r="S50" s="1268"/>
      <c r="T50" s="237"/>
      <c r="U50" s="237"/>
      <c r="V50" s="262"/>
      <c r="W50" s="262"/>
      <c r="X50" s="262"/>
      <c r="Y50" s="265" t="str">
        <f>Z49&amp;"-"&amp;AB49</f>
        <v>-</v>
      </c>
      <c r="Z50" s="5387"/>
      <c r="AA50" s="5245"/>
      <c r="AB50" s="5387"/>
      <c r="AC50" s="5245"/>
      <c r="AD50" s="262"/>
      <c r="AE50" s="262"/>
      <c r="AF50" s="262"/>
      <c r="AG50" s="265" t="str">
        <f>AH49&amp;"-"&amp;AJ49</f>
        <v>-</v>
      </c>
      <c r="AH50" s="5387"/>
      <c r="AI50" s="5245"/>
      <c r="AJ50" s="5389"/>
      <c r="AK50" s="5245"/>
      <c r="AL50" s="1275"/>
      <c r="AM50" s="5406"/>
      <c r="AO50" s="436"/>
      <c r="AP50" s="436" t="str">
        <f t="shared" si="1"/>
        <v/>
      </c>
      <c r="AQ50" s="436"/>
      <c r="AR50" s="436"/>
      <c r="AS50" s="1081">
        <v>1</v>
      </c>
    </row>
    <row r="51" spans="1:45" ht="11.45" customHeight="1">
      <c r="A51" s="1289" t="s">
        <v>185</v>
      </c>
      <c r="B51" s="1289" t="s">
        <v>186</v>
      </c>
      <c r="C51" s="1289" t="s">
        <v>187</v>
      </c>
      <c r="D51" s="1289" t="s">
        <v>188</v>
      </c>
      <c r="E51" s="5382"/>
      <c r="F51" s="5382"/>
      <c r="G51" s="5382"/>
      <c r="H51" s="5382"/>
      <c r="I51" s="5384"/>
      <c r="J51" s="5383"/>
      <c r="K51" s="1289"/>
      <c r="L51" s="1290"/>
      <c r="P51" s="5385"/>
      <c r="Q51" s="5385"/>
      <c r="R51" s="292"/>
      <c r="S51" s="1204"/>
      <c r="T51" s="225" t="s">
        <v>438</v>
      </c>
      <c r="U51" s="303"/>
      <c r="V51" s="303"/>
      <c r="W51" s="303"/>
      <c r="X51" s="303"/>
      <c r="Y51" s="303"/>
      <c r="Z51" s="303"/>
      <c r="AA51" s="303"/>
      <c r="AB51" s="303"/>
      <c r="AC51" s="303"/>
      <c r="AD51" s="303"/>
      <c r="AE51" s="303"/>
      <c r="AF51" s="303"/>
      <c r="AG51" s="303"/>
      <c r="AH51" s="303"/>
      <c r="AI51" s="303"/>
      <c r="AJ51" s="303"/>
      <c r="AK51" s="303"/>
      <c r="AL51" s="261"/>
      <c r="AM51" s="5407"/>
      <c r="AO51" s="436"/>
      <c r="AP51" s="436" t="str">
        <f t="shared" si="1"/>
        <v>Добавить вид теплоносителя (параметры теплоносителя)</v>
      </c>
      <c r="AQ51" s="436"/>
      <c r="AR51" s="436"/>
      <c r="AS51" s="1081">
        <v>11</v>
      </c>
    </row>
    <row r="52" spans="1:45" ht="11.45" customHeight="1">
      <c r="A52" s="1289" t="s">
        <v>185</v>
      </c>
      <c r="B52" s="1289" t="s">
        <v>186</v>
      </c>
      <c r="C52" s="1289" t="s">
        <v>187</v>
      </c>
      <c r="D52" s="1289" t="s">
        <v>188</v>
      </c>
      <c r="E52" s="5382"/>
      <c r="F52" s="5382"/>
      <c r="G52" s="5382"/>
      <c r="H52" s="5382"/>
      <c r="I52" s="5383"/>
      <c r="J52" s="1289"/>
      <c r="K52" s="1289"/>
      <c r="L52" s="1290"/>
      <c r="P52" s="5385"/>
      <c r="Q52" s="1257"/>
      <c r="R52" s="292"/>
      <c r="S52" s="1204"/>
      <c r="T52" s="224" t="s">
        <v>439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185</v>
      </c>
      <c r="B53" s="1289" t="s">
        <v>186</v>
      </c>
      <c r="C53" s="1289" t="s">
        <v>187</v>
      </c>
      <c r="D53" s="1289" t="s">
        <v>188</v>
      </c>
      <c r="E53" s="5382"/>
      <c r="F53" s="5382"/>
      <c r="G53" s="5382"/>
      <c r="H53" s="5381"/>
      <c r="I53" s="1289"/>
      <c r="J53" s="1289"/>
      <c r="K53" s="1289"/>
      <c r="L53" s="1290"/>
      <c r="M53" s="1291"/>
      <c r="N53" s="1291"/>
      <c r="O53" s="473"/>
      <c r="P53" s="296"/>
      <c r="Q53" s="311"/>
      <c r="R53" s="291"/>
      <c r="S53" s="1204"/>
      <c r="T53" s="301" t="s">
        <v>440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185</v>
      </c>
      <c r="B54" s="1269" t="s">
        <v>186</v>
      </c>
      <c r="C54" s="1269" t="s">
        <v>187</v>
      </c>
      <c r="D54" s="1240"/>
      <c r="E54" s="5382"/>
      <c r="F54" s="5382"/>
      <c r="G54" s="5381"/>
      <c r="H54" s="1240"/>
      <c r="I54" s="1240"/>
      <c r="J54" s="1240"/>
      <c r="K54" s="1240"/>
      <c r="L54" s="1265"/>
      <c r="M54" s="1241"/>
      <c r="N54" s="1241"/>
      <c r="P54" s="1242"/>
      <c r="Q54" s="1243"/>
      <c r="R54" s="1242"/>
      <c r="S54" s="1248"/>
      <c r="T54" s="1251" t="s">
        <v>163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185</v>
      </c>
      <c r="B55" s="1269" t="s">
        <v>186</v>
      </c>
      <c r="C55" s="1240"/>
      <c r="D55" s="1240"/>
      <c r="E55" s="5382"/>
      <c r="F55" s="5381"/>
      <c r="G55" s="1240"/>
      <c r="H55" s="1240"/>
      <c r="I55" s="1240"/>
      <c r="J55" s="1240"/>
      <c r="K55" s="1240"/>
      <c r="L55" s="1265"/>
      <c r="M55" s="1247"/>
      <c r="N55" s="1247"/>
      <c r="P55" s="1242"/>
      <c r="Q55" s="1243"/>
      <c r="R55" s="1242"/>
      <c r="S55" s="1248"/>
      <c r="T55" s="1251" t="s">
        <v>164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185</v>
      </c>
      <c r="B56" s="1269"/>
      <c r="C56" s="1269"/>
      <c r="D56" s="1269"/>
      <c r="E56" s="5381"/>
      <c r="F56" s="1269"/>
      <c r="G56" s="1269"/>
      <c r="H56" s="1269"/>
      <c r="I56" s="1269"/>
      <c r="J56" s="1269"/>
      <c r="K56" s="1269"/>
      <c r="L56" s="1272"/>
      <c r="M56" s="1247"/>
      <c r="N56" s="1247"/>
      <c r="O56" s="454"/>
      <c r="P56" s="316"/>
      <c r="Q56" s="1270"/>
      <c r="R56" s="316"/>
      <c r="S56" s="1248"/>
      <c r="T56" s="1251" t="s">
        <v>165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5379"/>
      <c r="U59" s="5379"/>
      <c r="V59" s="5379"/>
      <c r="W59" s="5379"/>
      <c r="X59" s="5379"/>
      <c r="Y59" s="5379"/>
      <c r="Z59" s="5379"/>
      <c r="AA59" s="5379"/>
      <c r="AB59" s="5379"/>
      <c r="AC59" s="5379"/>
      <c r="AD59" s="5379"/>
      <c r="AE59" s="5379"/>
      <c r="AF59" s="5379"/>
      <c r="AG59" s="5379"/>
      <c r="AH59" s="5379"/>
      <c r="AI59" s="5379"/>
      <c r="AJ59" s="5379"/>
      <c r="AK59" s="5379"/>
      <c r="AL59" s="5379"/>
      <c r="AM59" s="5379"/>
      <c r="AS59" s="1081">
        <v>27</v>
      </c>
    </row>
    <row r="60" spans="1:45" ht="65.25" customHeight="1">
      <c r="O60" s="473"/>
      <c r="T60" s="5379"/>
      <c r="U60" s="5379"/>
      <c r="V60" s="5379"/>
      <c r="W60" s="5379"/>
      <c r="X60" s="5379"/>
      <c r="Y60" s="5379"/>
      <c r="Z60" s="5379"/>
      <c r="AA60" s="5379"/>
      <c r="AB60" s="5379"/>
      <c r="AC60" s="5379"/>
      <c r="AD60" s="5379"/>
      <c r="AE60" s="5379"/>
      <c r="AF60" s="5379"/>
      <c r="AG60" s="5379"/>
      <c r="AH60" s="5379"/>
      <c r="AI60" s="5379"/>
      <c r="AJ60" s="5379"/>
      <c r="AK60" s="5379"/>
      <c r="AL60" s="5379"/>
      <c r="AM60" s="5379"/>
      <c r="AS60" s="1081">
        <v>62</v>
      </c>
    </row>
    <row r="61" spans="1:45" ht="14.65" customHeight="1">
      <c r="O61" s="473"/>
      <c r="AS61" s="1081">
        <v>14</v>
      </c>
    </row>
    <row r="62" spans="1:45" ht="18.75" customHeight="1">
      <c r="O62" s="473"/>
      <c r="S62" s="1179"/>
      <c r="T62" s="5379"/>
      <c r="U62" s="5379"/>
      <c r="V62" s="5379"/>
      <c r="W62" s="5379"/>
      <c r="X62" s="5379"/>
      <c r="Y62" s="5379"/>
      <c r="Z62" s="5379"/>
      <c r="AA62" s="5379"/>
      <c r="AB62" s="5379"/>
      <c r="AC62" s="5379"/>
      <c r="AD62" s="5379"/>
      <c r="AE62" s="5379"/>
      <c r="AF62" s="5379"/>
      <c r="AG62" s="5379"/>
      <c r="AH62" s="5379"/>
      <c r="AI62" s="5379"/>
      <c r="AJ62" s="5379"/>
      <c r="AK62" s="5379"/>
      <c r="AL62" s="5379"/>
      <c r="AM62" s="5379"/>
      <c r="AS62" s="1081">
        <v>18</v>
      </c>
    </row>
    <row r="63" spans="1:45" ht="18.75" customHeight="1">
      <c r="O63" s="473"/>
      <c r="T63" s="5379"/>
      <c r="U63" s="5379"/>
      <c r="V63" s="5379"/>
      <c r="W63" s="5379"/>
      <c r="X63" s="5379"/>
      <c r="Y63" s="5379"/>
      <c r="Z63" s="5379"/>
      <c r="AA63" s="5379"/>
      <c r="AB63" s="5379"/>
      <c r="AC63" s="5379"/>
      <c r="AD63" s="5379"/>
      <c r="AE63" s="5379"/>
      <c r="AF63" s="5379"/>
      <c r="AG63" s="5379"/>
      <c r="AH63" s="5379"/>
      <c r="AI63" s="5379"/>
      <c r="AJ63" s="5379"/>
      <c r="AK63" s="5379"/>
      <c r="AL63" s="5379"/>
      <c r="AM63" s="5379"/>
      <c r="AS63" s="1081">
        <v>18</v>
      </c>
    </row>
    <row r="64" spans="1:45" ht="29.25" customHeight="1">
      <c r="O64" s="473"/>
      <c r="S64" s="1179"/>
      <c r="T64" s="5379"/>
      <c r="U64" s="5379"/>
      <c r="V64" s="5379"/>
      <c r="W64" s="5379"/>
      <c r="X64" s="5379"/>
      <c r="Y64" s="5379"/>
      <c r="Z64" s="5379"/>
      <c r="AA64" s="5379"/>
      <c r="AB64" s="5379"/>
      <c r="AC64" s="5379"/>
      <c r="AD64" s="5379"/>
      <c r="AE64" s="5379"/>
      <c r="AF64" s="5379"/>
      <c r="AG64" s="5379"/>
      <c r="AH64" s="5379"/>
      <c r="AI64" s="5379"/>
      <c r="AJ64" s="5379"/>
      <c r="AK64" s="5379"/>
      <c r="AL64" s="5379"/>
      <c r="AM64" s="5379"/>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15" hidden="1" customWidth="1"/>
    <col min="15" max="15" width="23.42578125" style="2015"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5415">
        <v>1</v>
      </c>
      <c r="F2" s="1193"/>
      <c r="G2" s="1193"/>
      <c r="H2" s="1193"/>
      <c r="I2" s="1193"/>
      <c r="J2" s="1193"/>
      <c r="K2" s="1193"/>
      <c r="L2" s="1236"/>
      <c r="M2" s="1536"/>
      <c r="N2" s="1536"/>
      <c r="O2" s="1536"/>
      <c r="P2" s="1516"/>
      <c r="Q2" s="296"/>
      <c r="R2" s="291"/>
      <c r="S2" s="1879" t="e">
        <f>INDEX(PT_DIFFERENTIATION_NUM_NTAR,MATCH(A2,PT_DIFFERENTIATION_NTAR_ID,0))</f>
        <v>#N/A</v>
      </c>
      <c r="T2" s="1451" t="s">
        <v>125</v>
      </c>
      <c r="U2" s="237"/>
      <c r="V2" s="5373"/>
      <c r="W2" s="5374"/>
      <c r="X2" s="5374"/>
      <c r="Y2" s="5374"/>
      <c r="Z2" s="5374"/>
      <c r="AA2" s="5374"/>
      <c r="AB2" s="5374"/>
      <c r="AC2" s="5375"/>
      <c r="AD2" s="5373" t="e">
        <f>INDEX(PT_DIFFERENTIATION_NTAR,MATCH(A2,PT_DIFFERENTIATION_NTAR_ID,0))</f>
        <v>#N/A</v>
      </c>
      <c r="AE2" s="5374"/>
      <c r="AF2" s="5374"/>
      <c r="AG2" s="5374"/>
      <c r="AH2" s="5374"/>
      <c r="AI2" s="5374"/>
      <c r="AJ2" s="5374"/>
      <c r="AK2" s="5374"/>
      <c r="AL2" s="5375"/>
      <c r="AM2" s="1184" t="s">
        <v>423</v>
      </c>
      <c r="AO2" s="1550"/>
      <c r="AP2" s="1550" t="str">
        <f t="shared" ref="AP2:AP15" si="0">IF(T2="","",T2)</f>
        <v>Наименование тарифа</v>
      </c>
      <c r="AQ2" s="1550"/>
      <c r="AR2" s="1550"/>
      <c r="AS2" s="1557">
        <v>0</v>
      </c>
    </row>
    <row r="3" spans="1:45" ht="21" hidden="1" customHeight="1">
      <c r="A3" s="1193"/>
      <c r="B3" s="1193"/>
      <c r="C3" s="1193"/>
      <c r="D3" s="1193"/>
      <c r="E3" s="5416"/>
      <c r="F3" s="5415">
        <v>1</v>
      </c>
      <c r="G3" s="1193"/>
      <c r="H3" s="1193"/>
      <c r="I3" s="1193"/>
      <c r="J3" s="1193"/>
      <c r="K3" s="1193"/>
      <c r="L3" s="1236"/>
      <c r="M3" s="1536"/>
      <c r="N3" s="1536"/>
      <c r="O3" s="1536"/>
      <c r="P3" s="1861"/>
      <c r="Q3" s="288"/>
      <c r="R3" s="289"/>
      <c r="S3" s="1879" t="e">
        <f>INDEX(PT_DIFFERENTIATION_NUM_TER,MATCH(B3,PT_DIFFERENTIATION_TER_ID,0))</f>
        <v>#N/A</v>
      </c>
      <c r="T3" s="1448" t="s">
        <v>424</v>
      </c>
      <c r="U3" s="237"/>
      <c r="V3" s="5373"/>
      <c r="W3" s="5374"/>
      <c r="X3" s="5374"/>
      <c r="Y3" s="5374"/>
      <c r="Z3" s="5374"/>
      <c r="AA3" s="5374"/>
      <c r="AB3" s="5374"/>
      <c r="AC3" s="5375"/>
      <c r="AD3" s="5373" t="e">
        <f>INDEX(PT_DIFFERENTIATION_TER,MATCH(B3,PT_DIFFERENTIATION_TER_ID,0))</f>
        <v>#N/A</v>
      </c>
      <c r="AE3" s="5374"/>
      <c r="AF3" s="5374"/>
      <c r="AG3" s="5374"/>
      <c r="AH3" s="5374"/>
      <c r="AI3" s="5374"/>
      <c r="AJ3" s="5374"/>
      <c r="AK3" s="5374"/>
      <c r="AL3" s="5375"/>
      <c r="AM3" s="1184" t="s">
        <v>425</v>
      </c>
      <c r="AO3" s="1550"/>
      <c r="AP3" s="1550" t="str">
        <f t="shared" si="0"/>
        <v>Территория действия тарифа</v>
      </c>
      <c r="AQ3" s="1550"/>
      <c r="AR3" s="1550"/>
      <c r="AS3" s="1557">
        <v>0</v>
      </c>
    </row>
    <row r="4" spans="1:45" ht="23.25" hidden="1" customHeight="1">
      <c r="A4" s="1193"/>
      <c r="B4" s="1193"/>
      <c r="C4" s="1193"/>
      <c r="D4" s="1193"/>
      <c r="E4" s="5416"/>
      <c r="F4" s="5416"/>
      <c r="G4" s="5415">
        <v>1</v>
      </c>
      <c r="H4" s="1193"/>
      <c r="I4" s="1193"/>
      <c r="J4" s="1193"/>
      <c r="K4" s="1193"/>
      <c r="L4" s="1236"/>
      <c r="M4" s="1536"/>
      <c r="N4" s="1536"/>
      <c r="O4" s="1536"/>
      <c r="P4" s="290"/>
      <c r="Q4" s="288"/>
      <c r="R4" s="289"/>
      <c r="S4" s="1879" t="e">
        <f>INDEX(PT_DIFFERENTIATION_NUM_CS,MATCH(C4,PT_DIFFERENTIATION_CS_ID,0))</f>
        <v>#N/A</v>
      </c>
      <c r="T4" s="246" t="s">
        <v>426</v>
      </c>
      <c r="U4" s="237"/>
      <c r="V4" s="5373"/>
      <c r="W4" s="5374"/>
      <c r="X4" s="5374"/>
      <c r="Y4" s="5374"/>
      <c r="Z4" s="5374"/>
      <c r="AA4" s="5374"/>
      <c r="AB4" s="5374"/>
      <c r="AC4" s="5375"/>
      <c r="AD4" s="5373" t="e">
        <f>INDEX(PT_DIFFERENTIATION_CS,MATCH(C4,PT_DIFFERENTIATION_CS_ID,0))</f>
        <v>#N/A</v>
      </c>
      <c r="AE4" s="5374"/>
      <c r="AF4" s="5374"/>
      <c r="AG4" s="5374"/>
      <c r="AH4" s="5374"/>
      <c r="AI4" s="5374"/>
      <c r="AJ4" s="5374"/>
      <c r="AK4" s="5374"/>
      <c r="AL4" s="5375"/>
      <c r="AM4" s="1184" t="s">
        <v>427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5416"/>
      <c r="F5" s="5416"/>
      <c r="G5" s="5416"/>
      <c r="H5" s="5415">
        <v>1</v>
      </c>
      <c r="I5" s="1193"/>
      <c r="J5" s="1193"/>
      <c r="K5" s="1193"/>
      <c r="L5" s="1236"/>
      <c r="M5" s="1536"/>
      <c r="N5" s="1536"/>
      <c r="O5" s="1536"/>
      <c r="P5" s="290"/>
      <c r="Q5" s="288"/>
      <c r="R5" s="289"/>
      <c r="S5" s="1879" t="e">
        <f>INDEX(PT_DIFFERENTIATION_NUM_IST_TE,MATCH(D5,PT_DIFFERENTIATION_IST_TE_ID,0))</f>
        <v>#N/A</v>
      </c>
      <c r="T5" s="247" t="s">
        <v>428</v>
      </c>
      <c r="U5" s="237"/>
      <c r="V5" s="5373"/>
      <c r="W5" s="5374"/>
      <c r="X5" s="5374"/>
      <c r="Y5" s="5374"/>
      <c r="Z5" s="5374"/>
      <c r="AA5" s="5374"/>
      <c r="AB5" s="5374"/>
      <c r="AC5" s="5375"/>
      <c r="AD5" s="5373" t="e">
        <f>INDEX(PT_DIFFERENTIATION_IST_TE,MATCH(D5,PT_DIFFERENTIATION_IST_TE_ID,0))</f>
        <v>#N/A</v>
      </c>
      <c r="AE5" s="5374"/>
      <c r="AF5" s="5374"/>
      <c r="AG5" s="5374"/>
      <c r="AH5" s="5374"/>
      <c r="AI5" s="5374"/>
      <c r="AJ5" s="5374"/>
      <c r="AK5" s="5374"/>
      <c r="AL5" s="5375"/>
      <c r="AM5" s="1184" t="s">
        <v>429</v>
      </c>
      <c r="AO5" s="1550"/>
      <c r="AP5" s="1550" t="str">
        <f t="shared" si="0"/>
        <v xml:space="preserve">Источник тепловой энергии  </v>
      </c>
      <c r="AQ5" s="1550"/>
      <c r="AR5" s="1550"/>
      <c r="AS5" s="1557">
        <v>0</v>
      </c>
    </row>
    <row r="6" spans="1:45" ht="47.25" hidden="1" customHeight="1">
      <c r="A6" s="1193"/>
      <c r="B6" s="1193"/>
      <c r="C6" s="1193"/>
      <c r="D6" s="1193"/>
      <c r="E6" s="5416"/>
      <c r="F6" s="5416"/>
      <c r="G6" s="5416"/>
      <c r="H6" s="5416"/>
      <c r="I6" s="5235" t="e">
        <f>S5&amp;".1"</f>
        <v>#N/A</v>
      </c>
      <c r="J6" s="1193"/>
      <c r="K6" s="1193"/>
      <c r="L6" s="1236" t="s">
        <v>430</v>
      </c>
      <c r="M6" s="1561"/>
      <c r="P6" s="5385">
        <v>1</v>
      </c>
      <c r="Q6" s="1875"/>
      <c r="R6" s="292"/>
      <c r="S6" s="1879" t="e">
        <f>$I6</f>
        <v>#N/A</v>
      </c>
      <c r="T6" s="222" t="s">
        <v>431</v>
      </c>
      <c r="U6" s="237"/>
      <c r="V6" s="5366"/>
      <c r="W6" s="5367"/>
      <c r="X6" s="5367"/>
      <c r="Y6" s="5367"/>
      <c r="Z6" s="5367"/>
      <c r="AA6" s="5367"/>
      <c r="AB6" s="5367"/>
      <c r="AC6" s="5368"/>
      <c r="AD6" s="5366"/>
      <c r="AE6" s="5367"/>
      <c r="AF6" s="5367"/>
      <c r="AG6" s="5367"/>
      <c r="AH6" s="5367"/>
      <c r="AI6" s="5367"/>
      <c r="AJ6" s="5367"/>
      <c r="AK6" s="5367"/>
      <c r="AL6" s="5368"/>
      <c r="AM6" s="1184" t="s">
        <v>432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5416"/>
      <c r="F7" s="5416"/>
      <c r="G7" s="5416"/>
      <c r="H7" s="5416"/>
      <c r="I7" s="5217"/>
      <c r="J7" s="5235" t="e">
        <f>I6&amp;".1"</f>
        <v>#N/A</v>
      </c>
      <c r="K7" s="1193"/>
      <c r="L7" s="1236" t="s">
        <v>433</v>
      </c>
      <c r="M7" s="1561"/>
      <c r="N7" s="1557"/>
      <c r="P7" s="5385"/>
      <c r="Q7" s="5385">
        <v>1</v>
      </c>
      <c r="R7" s="293"/>
      <c r="S7" s="1879" t="e">
        <f>$J7</f>
        <v>#N/A</v>
      </c>
      <c r="T7" s="223" t="s">
        <v>434</v>
      </c>
      <c r="U7" s="237"/>
      <c r="V7" s="5366"/>
      <c r="W7" s="5367"/>
      <c r="X7" s="5367"/>
      <c r="Y7" s="5367"/>
      <c r="Z7" s="5367"/>
      <c r="AA7" s="5367"/>
      <c r="AB7" s="5367"/>
      <c r="AC7" s="5368"/>
      <c r="AD7" s="5366"/>
      <c r="AE7" s="5367"/>
      <c r="AF7" s="5367"/>
      <c r="AG7" s="5367"/>
      <c r="AH7" s="5367"/>
      <c r="AI7" s="5367"/>
      <c r="AJ7" s="5367"/>
      <c r="AK7" s="5367"/>
      <c r="AL7" s="5368"/>
      <c r="AM7" s="1184" t="s">
        <v>435</v>
      </c>
      <c r="AO7" s="1550"/>
      <c r="AP7" s="1550" t="str">
        <f t="shared" si="0"/>
        <v>Группа потребителей</v>
      </c>
      <c r="AQ7" s="1550"/>
      <c r="AR7" s="1550"/>
      <c r="AS7" s="1557">
        <v>0</v>
      </c>
    </row>
    <row r="8" spans="1:45" ht="21" hidden="1" customHeight="1">
      <c r="A8" s="1193"/>
      <c r="B8" s="1193"/>
      <c r="C8" s="1193"/>
      <c r="D8" s="1193"/>
      <c r="E8" s="5416"/>
      <c r="F8" s="5416"/>
      <c r="G8" s="5416"/>
      <c r="H8" s="5416"/>
      <c r="I8" s="5217"/>
      <c r="J8" s="5217"/>
      <c r="K8" s="5235" t="e">
        <f>J7&amp;".1"</f>
        <v>#N/A</v>
      </c>
      <c r="L8" s="1236" t="s">
        <v>436</v>
      </c>
      <c r="M8" s="1561"/>
      <c r="N8" s="1557"/>
      <c r="O8" s="1557"/>
      <c r="P8" s="5385"/>
      <c r="Q8" s="5385"/>
      <c r="R8" s="293">
        <v>1</v>
      </c>
      <c r="S8" s="1879" t="e">
        <f>$K8</f>
        <v>#N/A</v>
      </c>
      <c r="T8" s="1273"/>
      <c r="U8" s="237"/>
      <c r="V8" s="687"/>
      <c r="W8" s="262"/>
      <c r="X8" s="687"/>
      <c r="Y8" s="1183"/>
      <c r="Z8" s="5386"/>
      <c r="AA8" s="5245" t="s">
        <v>65</v>
      </c>
      <c r="AB8" s="5386"/>
      <c r="AC8" s="5245" t="s">
        <v>65</v>
      </c>
      <c r="AD8" s="687"/>
      <c r="AE8" s="262"/>
      <c r="AF8" s="687"/>
      <c r="AG8" s="1183"/>
      <c r="AH8" s="5386"/>
      <c r="AI8" s="5245" t="s">
        <v>65</v>
      </c>
      <c r="AJ8" s="5386"/>
      <c r="AK8" s="5245" t="s">
        <v>65</v>
      </c>
      <c r="AL8" s="262"/>
      <c r="AM8" s="5405" t="s">
        <v>437</v>
      </c>
      <c r="AN8" s="1562" t="e">
        <f ca="1">STRCHECKDATE(V9:AL9)</f>
        <v>#NAME?</v>
      </c>
      <c r="AO8" s="1550"/>
      <c r="AP8" s="1550" t="str">
        <f t="shared" si="0"/>
        <v/>
      </c>
      <c r="AQ8" s="1550"/>
      <c r="AR8" s="1550"/>
      <c r="AS8" s="1557">
        <v>0</v>
      </c>
    </row>
    <row r="9" spans="1:45" ht="0.75" hidden="1" customHeight="1">
      <c r="A9" s="1193"/>
      <c r="B9" s="1193"/>
      <c r="C9" s="1193"/>
      <c r="D9" s="1193"/>
      <c r="E9" s="5416"/>
      <c r="F9" s="5416"/>
      <c r="G9" s="5416"/>
      <c r="H9" s="5416"/>
      <c r="I9" s="5217"/>
      <c r="J9" s="5217"/>
      <c r="K9" s="5235"/>
      <c r="L9" s="1236"/>
      <c r="M9" s="1561"/>
      <c r="N9" s="1557"/>
      <c r="O9" s="1557"/>
      <c r="P9" s="5385"/>
      <c r="Q9" s="5385"/>
      <c r="R9" s="293"/>
      <c r="S9" s="1888"/>
      <c r="T9" s="237"/>
      <c r="U9" s="237"/>
      <c r="V9" s="262"/>
      <c r="W9" s="262"/>
      <c r="X9" s="262"/>
      <c r="Y9" s="265" t="str">
        <f>Z8&amp;"-"&amp;AB8</f>
        <v>-</v>
      </c>
      <c r="Z9" s="5387"/>
      <c r="AA9" s="5245"/>
      <c r="AB9" s="5387"/>
      <c r="AC9" s="5245"/>
      <c r="AD9" s="262"/>
      <c r="AE9" s="262"/>
      <c r="AF9" s="262"/>
      <c r="AG9" s="265" t="str">
        <f>AH8&amp;"-"&amp;AJ8</f>
        <v>-</v>
      </c>
      <c r="AH9" s="5387"/>
      <c r="AI9" s="5245"/>
      <c r="AJ9" s="5387"/>
      <c r="AK9" s="5245"/>
      <c r="AL9" s="262"/>
      <c r="AM9" s="5406"/>
      <c r="AO9" s="1550"/>
      <c r="AP9" s="1550" t="str">
        <f t="shared" si="0"/>
        <v/>
      </c>
      <c r="AQ9" s="1550"/>
      <c r="AR9" s="1550"/>
      <c r="AS9" s="1557">
        <v>0</v>
      </c>
    </row>
    <row r="10" spans="1:45" ht="15" hidden="1" customHeight="1">
      <c r="A10" s="1193"/>
      <c r="B10" s="1193"/>
      <c r="C10" s="1193"/>
      <c r="D10" s="1193"/>
      <c r="E10" s="5416"/>
      <c r="F10" s="5416"/>
      <c r="G10" s="5416"/>
      <c r="H10" s="5416"/>
      <c r="I10" s="5217"/>
      <c r="J10" s="5235"/>
      <c r="K10" s="1193"/>
      <c r="L10" s="1236"/>
      <c r="M10" s="1561"/>
      <c r="N10" s="1557"/>
      <c r="P10" s="5385"/>
      <c r="Q10" s="5385"/>
      <c r="R10" s="292"/>
      <c r="S10" s="1204"/>
      <c r="T10" s="225" t="s">
        <v>438</v>
      </c>
      <c r="U10" s="536"/>
      <c r="V10" s="536"/>
      <c r="W10" s="536"/>
      <c r="X10" s="536"/>
      <c r="Y10" s="536"/>
      <c r="Z10" s="536"/>
      <c r="AA10" s="536"/>
      <c r="AB10" s="536"/>
      <c r="AC10" s="536"/>
      <c r="AD10" s="536"/>
      <c r="AE10" s="536"/>
      <c r="AF10" s="536"/>
      <c r="AG10" s="536"/>
      <c r="AH10" s="536"/>
      <c r="AI10" s="536"/>
      <c r="AJ10" s="536"/>
      <c r="AK10" s="536"/>
      <c r="AL10" s="261"/>
      <c r="AM10" s="540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5416"/>
      <c r="F11" s="5416"/>
      <c r="G11" s="5416"/>
      <c r="H11" s="5416"/>
      <c r="I11" s="5235"/>
      <c r="J11" s="1193"/>
      <c r="K11" s="1193"/>
      <c r="L11" s="1236"/>
      <c r="M11" s="1561"/>
      <c r="P11" s="5385"/>
      <c r="Q11" s="1875"/>
      <c r="R11" s="292"/>
      <c r="S11" s="1204"/>
      <c r="T11" s="224" t="s">
        <v>439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5416"/>
      <c r="F12" s="5416"/>
      <c r="G12" s="5416"/>
      <c r="H12" s="5415"/>
      <c r="I12" s="1193"/>
      <c r="J12" s="1193"/>
      <c r="K12" s="1193"/>
      <c r="L12" s="1236"/>
      <c r="M12" s="1536"/>
      <c r="N12" s="1536"/>
      <c r="O12" s="1561"/>
      <c r="P12" s="296"/>
      <c r="Q12" s="311"/>
      <c r="R12" s="291"/>
      <c r="S12" s="1204"/>
      <c r="T12" s="301" t="s">
        <v>440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5416"/>
      <c r="F13" s="5416"/>
      <c r="G13" s="5415"/>
      <c r="H13" s="1300"/>
      <c r="I13" s="1300"/>
      <c r="J13" s="1300"/>
      <c r="K13" s="1300"/>
      <c r="L13" s="1303"/>
      <c r="M13" s="1304"/>
      <c r="N13" s="1304"/>
      <c r="O13" s="287"/>
      <c r="P13" s="1242"/>
      <c r="Q13" s="1243"/>
      <c r="R13" s="1242"/>
      <c r="S13" s="1244"/>
      <c r="T13" s="1245" t="s">
        <v>163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5416"/>
      <c r="F14" s="5415"/>
      <c r="G14" s="1300"/>
      <c r="H14" s="1300"/>
      <c r="I14" s="1300"/>
      <c r="J14" s="1300"/>
      <c r="K14" s="1300"/>
      <c r="L14" s="1303"/>
      <c r="M14" s="1305"/>
      <c r="N14" s="1305"/>
      <c r="O14" s="287"/>
      <c r="P14" s="1242"/>
      <c r="Q14" s="1243"/>
      <c r="R14" s="1242"/>
      <c r="S14" s="1248"/>
      <c r="T14" s="1249" t="s">
        <v>164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5415"/>
      <c r="F15" s="1300"/>
      <c r="G15" s="1300"/>
      <c r="H15" s="1300"/>
      <c r="I15" s="1300"/>
      <c r="J15" s="1300"/>
      <c r="K15" s="1300"/>
      <c r="L15" s="1303"/>
      <c r="M15" s="1305"/>
      <c r="N15" s="1305"/>
      <c r="O15" s="287"/>
      <c r="P15" s="1242"/>
      <c r="Q15" s="1243"/>
      <c r="R15" s="1242"/>
      <c r="S15" s="1248"/>
      <c r="T15" s="1251" t="s">
        <v>165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5378"/>
      <c r="AI17" s="5377" t="s">
        <v>65</v>
      </c>
      <c r="AJ17" s="5378"/>
      <c r="AK17" s="5377" t="s">
        <v>65</v>
      </c>
      <c r="AS17" s="1557">
        <v>0</v>
      </c>
    </row>
    <row r="18" spans="1:45" ht="14.25" hidden="1" customHeight="1">
      <c r="AD18" s="1286"/>
      <c r="AE18" s="1286"/>
      <c r="AF18" s="1286"/>
      <c r="AG18" s="265" t="str">
        <f>AH17&amp;"-"&amp;AJ17</f>
        <v>-</v>
      </c>
      <c r="AH18" s="5377"/>
      <c r="AI18" s="5377"/>
      <c r="AJ18" s="5377"/>
      <c r="AK18" s="5377"/>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441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442</v>
      </c>
      <c r="P22" s="1288"/>
      <c r="Q22" s="1297"/>
      <c r="R22" s="1297"/>
      <c r="S22" s="665"/>
      <c r="T22" s="1292" t="s">
        <v>443</v>
      </c>
      <c r="AA22" s="531" t="s">
        <v>444</v>
      </c>
      <c r="AC22" s="531" t="s">
        <v>445</v>
      </c>
      <c r="AD22" s="1292" t="s">
        <v>443</v>
      </c>
      <c r="AI22" s="531" t="s">
        <v>446</v>
      </c>
      <c r="AK22" s="531" t="s">
        <v>445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535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359"/>
      <c r="U26" s="5359"/>
      <c r="V26" s="5359"/>
      <c r="W26" s="5359"/>
      <c r="X26" s="5359"/>
      <c r="Y26" s="5359"/>
      <c r="Z26" s="5359"/>
      <c r="AA26" s="5359"/>
      <c r="AB26" s="5359"/>
      <c r="AC26" s="5359"/>
      <c r="AD26" s="5359"/>
      <c r="AE26" s="5359"/>
      <c r="AF26" s="5359"/>
      <c r="AG26" s="5359"/>
      <c r="AH26" s="5359"/>
      <c r="AI26" s="5359"/>
      <c r="AJ26" s="5359"/>
      <c r="AK26" s="1169"/>
      <c r="AS26" s="1557">
        <v>14</v>
      </c>
    </row>
    <row r="27" spans="1:45" ht="14.65" customHeight="1">
      <c r="Q27" s="312"/>
      <c r="R27" s="312"/>
      <c r="S27" s="5331" t="str">
        <f>IF(org=0,"Не определено",org)</f>
        <v>ПАО "ТГК-1" филиал "Невский"</v>
      </c>
      <c r="T27" s="5331"/>
      <c r="U27" s="5331"/>
      <c r="V27" s="5331"/>
      <c r="W27" s="5331"/>
      <c r="X27" s="5331"/>
      <c r="Y27" s="5331"/>
      <c r="Z27" s="5331"/>
      <c r="AA27" s="5331"/>
      <c r="AB27" s="5331"/>
      <c r="AC27" s="5331"/>
      <c r="AD27" s="5331"/>
      <c r="AE27" s="5331"/>
      <c r="AF27" s="5331"/>
      <c r="AG27" s="5331"/>
      <c r="AH27" s="5331"/>
      <c r="AI27" s="5331"/>
      <c r="AJ27" s="5331"/>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5370" t="s">
        <v>42</v>
      </c>
      <c r="T29" s="5370"/>
      <c r="U29" s="1298"/>
      <c r="V29" s="5372" t="str">
        <f>IF(TITLE_NAME_OR_PR_CHANGE="",IF(TITLE_NAME_OR_PR="","",TITLE_NAME_OR_PR),TITLE_NAME_OR_PR_CHANGE)</f>
        <v>Комитет по тарифам Санкт-Петербурга</v>
      </c>
      <c r="W29" s="5372"/>
      <c r="X29" s="5372"/>
      <c r="Y29" s="5372"/>
      <c r="Z29" s="5372"/>
      <c r="AA29" s="5372"/>
      <c r="AB29" s="5372"/>
      <c r="AC29" s="1561"/>
      <c r="AD29" s="5372" t="str">
        <f>IF(TITLE_NAME_OR_PR_CHANGE="",IF(TITLE_NAME_OR_PR="","",TITLE_NAME_OR_PR),TITLE_NAME_OR_PR_CHANGE)</f>
        <v>Комитет по тарифам Санкт-Петербурга</v>
      </c>
      <c r="AE29" s="5372"/>
      <c r="AF29" s="5372"/>
      <c r="AG29" s="5372"/>
      <c r="AH29" s="5372"/>
      <c r="AI29" s="5372"/>
      <c r="AJ29" s="5372"/>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5370" t="s">
        <v>447</v>
      </c>
      <c r="T30" s="5370"/>
      <c r="U30" s="1298"/>
      <c r="V30" s="5371">
        <f>IF(TITLE_DATE_PR_CHANGE="",IF(TITLE_DATE_PR="","",TITLE_DATE_PR),TITLE_DATE_PR_CHANGE)</f>
        <v>45470</v>
      </c>
      <c r="W30" s="5371"/>
      <c r="X30" s="5371"/>
      <c r="Y30" s="5371"/>
      <c r="Z30" s="5371"/>
      <c r="AA30" s="5371"/>
      <c r="AB30" s="5371"/>
      <c r="AC30" s="1561"/>
      <c r="AD30" s="5371">
        <f>IF(TITLE_DATE_PR_CHANGE="",IF(TITLE_DATE_PR="","",TITLE_DATE_PR),TITLE_DATE_PR_CHANGE)</f>
        <v>45470</v>
      </c>
      <c r="AE30" s="5371"/>
      <c r="AF30" s="5371"/>
      <c r="AG30" s="5371"/>
      <c r="AH30" s="5371"/>
      <c r="AI30" s="5371"/>
      <c r="AJ30" s="5371"/>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5370" t="s">
        <v>448</v>
      </c>
      <c r="T31" s="5370"/>
      <c r="U31" s="1298"/>
      <c r="V31" s="5372" t="str">
        <f>IF(TITLE_NUMBER_PR_CHANGE="",IF(TITLE_NUMBER_PR="","",TITLE_NUMBER_PR),TITLE_NUMBER_PR_CHANGE)</f>
        <v>94-р</v>
      </c>
      <c r="W31" s="5372"/>
      <c r="X31" s="5372"/>
      <c r="Y31" s="5372"/>
      <c r="Z31" s="5372"/>
      <c r="AA31" s="5372"/>
      <c r="AB31" s="5372"/>
      <c r="AC31" s="1561"/>
      <c r="AD31" s="5372" t="str">
        <f>IF(TITLE_NUMBER_PR_CHANGE="",IF(TITLE_NUMBER_PR="","",TITLE_NUMBER_PR),TITLE_NUMBER_PR_CHANGE)</f>
        <v>94-р</v>
      </c>
      <c r="AE31" s="5372"/>
      <c r="AF31" s="5372"/>
      <c r="AG31" s="5372"/>
      <c r="AH31" s="5372"/>
      <c r="AI31" s="5372"/>
      <c r="AJ31" s="5372"/>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5370" t="s">
        <v>44</v>
      </c>
      <c r="T32" s="5370"/>
      <c r="U32" s="1298"/>
      <c r="V32" s="5372" t="str">
        <f>IF(TITLE_IST_PUB_CHANGE="",IF(TITLE_IST_PUB="","",TITLE_IST_PUB),TITLE_IST_PUB_CHANGE)</f>
        <v>http://publication.pravo.gov.ru/document/7801202407010029</v>
      </c>
      <c r="W32" s="5372"/>
      <c r="X32" s="5372"/>
      <c r="Y32" s="5372"/>
      <c r="Z32" s="5372"/>
      <c r="AA32" s="5372"/>
      <c r="AB32" s="5372"/>
      <c r="AC32" s="1561"/>
      <c r="AD32" s="5372" t="str">
        <f>IF(TITLE_IST_PUB_CHANGE="",IF(TITLE_IST_PUB="","",TITLE_IST_PUB),TITLE_IST_PUB_CHANGE)</f>
        <v>http://publication.pravo.gov.ru/document/7801202407010029</v>
      </c>
      <c r="AE32" s="5372"/>
      <c r="AF32" s="5372"/>
      <c r="AG32" s="5372"/>
      <c r="AH32" s="5372"/>
      <c r="AI32" s="5372"/>
      <c r="AJ32" s="5372"/>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5370" t="s">
        <v>449</v>
      </c>
      <c r="T34" s="5370"/>
      <c r="U34" s="1298"/>
      <c r="V34" s="5371">
        <f>IF(TITLE_DATE_PR_CHANGE="",IF(TITLE_DATE_PR="","",TITLE_DATE_PR),TITLE_DATE_PR_CHANGE)</f>
        <v>45470</v>
      </c>
      <c r="W34" s="5371"/>
      <c r="X34" s="5371"/>
      <c r="Y34" s="5371"/>
      <c r="Z34" s="5371"/>
      <c r="AA34" s="5371"/>
      <c r="AB34" s="5371"/>
      <c r="AC34" s="1561"/>
      <c r="AD34" s="5371">
        <f>IF(TITLE_DATE_PR_CHANGE="",IF(TITLE_DATE_PR="","",TITLE_DATE_PR),TITLE_DATE_PR_CHANGE)</f>
        <v>45470</v>
      </c>
      <c r="AE34" s="5371"/>
      <c r="AF34" s="5371"/>
      <c r="AG34" s="5371"/>
      <c r="AH34" s="5371"/>
      <c r="AI34" s="5371"/>
      <c r="AJ34" s="5371"/>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5370" t="s">
        <v>450</v>
      </c>
      <c r="T35" s="5370"/>
      <c r="U35" s="1298"/>
      <c r="V35" s="5372" t="str">
        <f>IF(TITLE_NUMBER_PR_CHANGE="",IF(TITLE_NUMBER_PR="","",TITLE_NUMBER_PR),TITLE_NUMBER_PR_CHANGE)</f>
        <v>94-р</v>
      </c>
      <c r="W35" s="5372"/>
      <c r="X35" s="5372"/>
      <c r="Y35" s="5372"/>
      <c r="Z35" s="5372"/>
      <c r="AA35" s="5372"/>
      <c r="AB35" s="5372"/>
      <c r="AC35" s="1561"/>
      <c r="AD35" s="5372" t="str">
        <f>IF(TITLE_NUMBER_PR_CHANGE="",IF(TITLE_NUMBER_PR="","",TITLE_NUMBER_PR),TITLE_NUMBER_PR_CHANGE)</f>
        <v>94-р</v>
      </c>
      <c r="AE35" s="5372"/>
      <c r="AF35" s="5372"/>
      <c r="AG35" s="5372"/>
      <c r="AH35" s="5372"/>
      <c r="AI35" s="5372"/>
      <c r="AJ35" s="5372"/>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451</v>
      </c>
      <c r="AD36" s="1561"/>
      <c r="AE36" s="1561"/>
      <c r="AF36" s="1561"/>
      <c r="AG36" s="1561"/>
      <c r="AH36" s="1561"/>
      <c r="AI36" s="1561"/>
      <c r="AJ36" s="1561"/>
      <c r="AK36" s="1568" t="s">
        <v>451</v>
      </c>
      <c r="AN36" s="304"/>
      <c r="AO36" s="304"/>
      <c r="AP36" s="304"/>
      <c r="AQ36" s="304"/>
      <c r="AR36" s="304"/>
      <c r="AS36" s="354">
        <v>0</v>
      </c>
    </row>
    <row r="37" spans="1:45" ht="14.65" customHeight="1">
      <c r="Q37" s="312"/>
      <c r="R37" s="312"/>
      <c r="S37" s="1201"/>
      <c r="T37" s="393"/>
      <c r="U37" s="1170"/>
      <c r="V37" s="5393"/>
      <c r="W37" s="5393"/>
      <c r="X37" s="5393"/>
      <c r="Y37" s="5393"/>
      <c r="Z37" s="5393"/>
      <c r="AA37" s="5393"/>
      <c r="AB37" s="5393"/>
      <c r="AC37" s="5393"/>
      <c r="AD37" s="5393"/>
      <c r="AE37" s="5393"/>
      <c r="AF37" s="5393"/>
      <c r="AG37" s="5393"/>
      <c r="AH37" s="5393"/>
      <c r="AI37" s="5393"/>
      <c r="AJ37" s="5393"/>
      <c r="AK37" s="5393"/>
      <c r="AS37" s="1557">
        <v>14</v>
      </c>
    </row>
    <row r="38" spans="1:45" ht="14.65" customHeight="1">
      <c r="Q38" s="312"/>
      <c r="R38" s="312"/>
      <c r="S38" s="5235" t="s">
        <v>327</v>
      </c>
      <c r="T38" s="5235"/>
      <c r="U38" s="5235"/>
      <c r="V38" s="5235"/>
      <c r="W38" s="5235"/>
      <c r="X38" s="5235"/>
      <c r="Y38" s="5235"/>
      <c r="Z38" s="5235"/>
      <c r="AA38" s="5235"/>
      <c r="AB38" s="5235"/>
      <c r="AC38" s="5235"/>
      <c r="AD38" s="5235"/>
      <c r="AE38" s="5235"/>
      <c r="AF38" s="5235"/>
      <c r="AG38" s="5235"/>
      <c r="AH38" s="5235"/>
      <c r="AI38" s="5235"/>
      <c r="AJ38" s="5235"/>
      <c r="AK38" s="5235"/>
      <c r="AL38" s="5235"/>
      <c r="AM38" s="5235" t="s">
        <v>328</v>
      </c>
      <c r="AS38" s="1557">
        <v>14</v>
      </c>
    </row>
    <row r="39" spans="1:45" ht="14.65" customHeight="1">
      <c r="Q39" s="312"/>
      <c r="R39" s="312"/>
      <c r="S39" s="5395" t="s">
        <v>90</v>
      </c>
      <c r="T39" s="5339" t="s">
        <v>452</v>
      </c>
      <c r="U39" s="274"/>
      <c r="V39" s="5396" t="s">
        <v>453</v>
      </c>
      <c r="W39" s="5397"/>
      <c r="X39" s="5397"/>
      <c r="Y39" s="5397"/>
      <c r="Z39" s="5397"/>
      <c r="AA39" s="5397"/>
      <c r="AB39" s="5398"/>
      <c r="AC39" s="5399" t="s">
        <v>454</v>
      </c>
      <c r="AD39" s="5396" t="s">
        <v>453</v>
      </c>
      <c r="AE39" s="5397"/>
      <c r="AF39" s="5397"/>
      <c r="AG39" s="5397"/>
      <c r="AH39" s="5397"/>
      <c r="AI39" s="5397"/>
      <c r="AJ39" s="5398"/>
      <c r="AK39" s="5399" t="s">
        <v>455</v>
      </c>
      <c r="AL39" s="5402" t="s">
        <v>456</v>
      </c>
      <c r="AM39" s="5235"/>
      <c r="AS39" s="1557">
        <v>14</v>
      </c>
    </row>
    <row r="40" spans="1:45" ht="35.65" customHeight="1">
      <c r="Q40" s="312"/>
      <c r="R40" s="312"/>
      <c r="S40" s="5395"/>
      <c r="T40" s="5339"/>
      <c r="U40" s="960"/>
      <c r="V40" s="5311" t="s">
        <v>457</v>
      </c>
      <c r="W40" s="5390" t="s">
        <v>458</v>
      </c>
      <c r="X40" s="5217" t="s">
        <v>459</v>
      </c>
      <c r="Y40" s="5216"/>
      <c r="Z40" s="5217" t="s">
        <v>477</v>
      </c>
      <c r="AA40" s="5222"/>
      <c r="AB40" s="5216"/>
      <c r="AC40" s="5400"/>
      <c r="AD40" s="5311" t="s">
        <v>457</v>
      </c>
      <c r="AE40" s="5390" t="s">
        <v>458</v>
      </c>
      <c r="AF40" s="5217" t="s">
        <v>459</v>
      </c>
      <c r="AG40" s="5216"/>
      <c r="AH40" s="5217" t="s">
        <v>460</v>
      </c>
      <c r="AI40" s="5222"/>
      <c r="AJ40" s="5216"/>
      <c r="AK40" s="5400"/>
      <c r="AL40" s="5403"/>
      <c r="AM40" s="5235"/>
      <c r="AS40" s="1557">
        <v>34</v>
      </c>
    </row>
    <row r="41" spans="1:45" ht="35.65" customHeight="1">
      <c r="A41" s="1192"/>
      <c r="B41" s="1192" t="s">
        <v>137</v>
      </c>
      <c r="C41" s="1192" t="s">
        <v>138</v>
      </c>
      <c r="D41" s="1192" t="s">
        <v>139</v>
      </c>
      <c r="E41" s="1236" t="s">
        <v>461</v>
      </c>
      <c r="F41" s="1236" t="s">
        <v>462</v>
      </c>
      <c r="G41" s="1236" t="s">
        <v>463</v>
      </c>
      <c r="H41" s="1236" t="s">
        <v>464</v>
      </c>
      <c r="I41" s="1236" t="s">
        <v>465</v>
      </c>
      <c r="J41" s="1236" t="s">
        <v>466</v>
      </c>
      <c r="K41" s="1236" t="s">
        <v>467</v>
      </c>
      <c r="L41" s="1236" t="s">
        <v>442</v>
      </c>
      <c r="Q41" s="312"/>
      <c r="R41" s="312"/>
      <c r="S41" s="5395"/>
      <c r="T41" s="5339"/>
      <c r="U41" s="239"/>
      <c r="V41" s="5364"/>
      <c r="W41" s="5391"/>
      <c r="X41" s="1859" t="s">
        <v>468</v>
      </c>
      <c r="Y41" s="1859" t="s">
        <v>469</v>
      </c>
      <c r="Z41" s="1859" t="s">
        <v>470</v>
      </c>
      <c r="AA41" s="5344" t="s">
        <v>471</v>
      </c>
      <c r="AB41" s="5358"/>
      <c r="AC41" s="5401"/>
      <c r="AD41" s="5364"/>
      <c r="AE41" s="5391"/>
      <c r="AF41" s="1859" t="s">
        <v>468</v>
      </c>
      <c r="AG41" s="1859" t="s">
        <v>469</v>
      </c>
      <c r="AH41" s="1859" t="s">
        <v>470</v>
      </c>
      <c r="AI41" s="5344" t="s">
        <v>471</v>
      </c>
      <c r="AJ41" s="5358"/>
      <c r="AK41" s="5401"/>
      <c r="AL41" s="5404"/>
      <c r="AM41" s="5235"/>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111</v>
      </c>
      <c r="T42" s="1181" t="s">
        <v>112</v>
      </c>
      <c r="U42" s="1171" t="str">
        <f ca="1">OFFSET(U42,0,-1)</f>
        <v>2</v>
      </c>
      <c r="V42" s="1877">
        <f ca="1">OFFSET(V42,0,-1)+1</f>
        <v>3</v>
      </c>
      <c r="W42" s="1877"/>
      <c r="X42" s="1877">
        <f ca="1">OFFSET(X42,0,-1)+1</f>
        <v>1</v>
      </c>
      <c r="Y42" s="1877">
        <f ca="1">OFFSET(Y42,0,-1)+1</f>
        <v>2</v>
      </c>
      <c r="Z42" s="1877">
        <f ca="1">OFFSET(Z42,0,-1)+1</f>
        <v>3</v>
      </c>
      <c r="AA42" s="5392">
        <f ca="1">OFFSET(AA42,0,-1)+1</f>
        <v>4</v>
      </c>
      <c r="AB42" s="5392"/>
      <c r="AC42" s="1877">
        <f ca="1">OFFSET(AC42,0,-2)+1</f>
        <v>5</v>
      </c>
      <c r="AD42" s="1877">
        <f ca="1">OFFSET(AD42,0,-1)+1</f>
        <v>6</v>
      </c>
      <c r="AE42" s="1877"/>
      <c r="AF42" s="1877">
        <f ca="1">OFFSET(AF42,0,-1)+1</f>
        <v>1</v>
      </c>
      <c r="AG42" s="1877">
        <f ca="1">OFFSET(AG42,0,-1)+1</f>
        <v>2</v>
      </c>
      <c r="AH42" s="1877">
        <f ca="1">OFFSET(AH42,0,-1)+1</f>
        <v>3</v>
      </c>
      <c r="AI42" s="5392">
        <f ca="1">OFFSET(AI42,0,-1)+1</f>
        <v>4</v>
      </c>
      <c r="AJ42" s="5392"/>
      <c r="AK42" s="1877">
        <f ca="1">OFFSET(AK42,0,-2)+1</f>
        <v>5</v>
      </c>
      <c r="AL42" s="1171">
        <f ca="1">OFFSET(AL42,0,-1)</f>
        <v>5</v>
      </c>
      <c r="AM42" s="1877">
        <f ca="1">OFFSET(AM42,0,-1)+1</f>
        <v>6</v>
      </c>
      <c r="AN42" s="1562"/>
      <c r="AO42" s="1562"/>
      <c r="AP42" s="1562"/>
      <c r="AQ42" s="1562"/>
      <c r="AR42" s="1562"/>
      <c r="AS42" s="1567">
        <v>0</v>
      </c>
    </row>
    <row r="43" spans="1:45" ht="21.95" customHeight="1">
      <c r="A43" s="1193" t="s">
        <v>239</v>
      </c>
      <c r="B43" s="1193"/>
      <c r="C43" s="1193"/>
      <c r="D43" s="1193"/>
      <c r="E43" s="5415">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125</v>
      </c>
      <c r="U43" s="237"/>
      <c r="V43" s="5373"/>
      <c r="W43" s="5374"/>
      <c r="X43" s="5374"/>
      <c r="Y43" s="5374"/>
      <c r="Z43" s="5374"/>
      <c r="AA43" s="5374"/>
      <c r="AB43" s="5374"/>
      <c r="AC43" s="5375"/>
      <c r="AD43" s="5373" t="str">
        <f>INDEX(PT_DIFFERENTIATION_NTAR,MATCH(A43,PT_DIFFERENTIATION_NTAR_ID,0))</f>
        <v/>
      </c>
      <c r="AE43" s="5374"/>
      <c r="AF43" s="5374"/>
      <c r="AG43" s="5374"/>
      <c r="AH43" s="5374"/>
      <c r="AI43" s="5374"/>
      <c r="AJ43" s="5374"/>
      <c r="AK43" s="5374"/>
      <c r="AL43" s="537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239</v>
      </c>
      <c r="B44" s="1193" t="s">
        <v>240</v>
      </c>
      <c r="C44" s="1193"/>
      <c r="D44" s="1193"/>
      <c r="E44" s="5416"/>
      <c r="F44" s="5415">
        <v>1</v>
      </c>
      <c r="G44" s="1193"/>
      <c r="H44" s="1193"/>
      <c r="I44" s="1193"/>
      <c r="J44" s="1193"/>
      <c r="K44" s="1193"/>
      <c r="L44" s="1236"/>
      <c r="M44" s="1536"/>
      <c r="N44" s="1536"/>
      <c r="O44" s="1536"/>
      <c r="P44" s="1861"/>
      <c r="Q44" s="288"/>
      <c r="R44" s="289"/>
      <c r="S44" s="1879" t="str">
        <f>INDEX(PT_DIFFERENTIATION_NUM_TER,MATCH(B44,PT_DIFFERENTIATION_TER_ID,0))</f>
        <v>.</v>
      </c>
      <c r="T44" s="1448" t="s">
        <v>424</v>
      </c>
      <c r="U44" s="237"/>
      <c r="V44" s="5373"/>
      <c r="W44" s="5374"/>
      <c r="X44" s="5374"/>
      <c r="Y44" s="5374"/>
      <c r="Z44" s="5374"/>
      <c r="AA44" s="5374"/>
      <c r="AB44" s="5374"/>
      <c r="AC44" s="5375"/>
      <c r="AD44" s="5373" t="str">
        <f>INDEX(PT_DIFFERENTIATION_TER,MATCH(B44,PT_DIFFERENTIATION_TER_ID,0))</f>
        <v/>
      </c>
      <c r="AE44" s="5374"/>
      <c r="AF44" s="5374"/>
      <c r="AG44" s="5374"/>
      <c r="AH44" s="5374"/>
      <c r="AI44" s="5374"/>
      <c r="AJ44" s="5374"/>
      <c r="AK44" s="5374"/>
      <c r="AL44" s="5375"/>
      <c r="AM44" s="1184" t="s">
        <v>425</v>
      </c>
      <c r="AO44" s="1550"/>
      <c r="AP44" s="1550" t="str">
        <f t="shared" si="1"/>
        <v>Территория действия тарифа</v>
      </c>
      <c r="AQ44" s="1550"/>
      <c r="AR44" s="1550"/>
      <c r="AS44" s="1557">
        <v>21</v>
      </c>
    </row>
    <row r="45" spans="1:45" ht="24" customHeight="1">
      <c r="A45" s="1193" t="s">
        <v>239</v>
      </c>
      <c r="B45" s="1193" t="s">
        <v>240</v>
      </c>
      <c r="C45" s="1193" t="s">
        <v>241</v>
      </c>
      <c r="D45" s="1193"/>
      <c r="E45" s="5416"/>
      <c r="F45" s="5416"/>
      <c r="G45" s="5415">
        <v>1</v>
      </c>
      <c r="H45" s="1193"/>
      <c r="I45" s="1193"/>
      <c r="J45" s="1193"/>
      <c r="K45" s="1193"/>
      <c r="L45" s="1236"/>
      <c r="M45" s="1536"/>
      <c r="N45" s="1536"/>
      <c r="O45" s="1536"/>
      <c r="P45" s="290"/>
      <c r="Q45" s="288"/>
      <c r="R45" s="289"/>
      <c r="S45" s="1879" t="str">
        <f>INDEX(PT_DIFFERENTIATION_NUM_CS,MATCH(C45,PT_DIFFERENTIATION_CS_ID,0))</f>
        <v>..</v>
      </c>
      <c r="T45" s="246" t="s">
        <v>426</v>
      </c>
      <c r="U45" s="237"/>
      <c r="V45" s="5373"/>
      <c r="W45" s="5374"/>
      <c r="X45" s="5374"/>
      <c r="Y45" s="5374"/>
      <c r="Z45" s="5374"/>
      <c r="AA45" s="5374"/>
      <c r="AB45" s="5374"/>
      <c r="AC45" s="5375"/>
      <c r="AD45" s="5373" t="str">
        <f>INDEX(PT_DIFFERENTIATION_CS,MATCH(C45,PT_DIFFERENTIATION_CS_ID,0))</f>
        <v/>
      </c>
      <c r="AE45" s="5374"/>
      <c r="AF45" s="5374"/>
      <c r="AG45" s="5374"/>
      <c r="AH45" s="5374"/>
      <c r="AI45" s="5374"/>
      <c r="AJ45" s="5374"/>
      <c r="AK45" s="5374"/>
      <c r="AL45" s="5375"/>
      <c r="AM45" s="1184" t="s">
        <v>427</v>
      </c>
      <c r="AO45" s="1550"/>
      <c r="AP45" s="1550" t="str">
        <f t="shared" si="1"/>
        <v xml:space="preserve">Наименование системы теплоснабжения </v>
      </c>
      <c r="AQ45" s="1550"/>
      <c r="AR45" s="1550"/>
      <c r="AS45" s="1557">
        <v>23</v>
      </c>
    </row>
    <row r="46" spans="1:45" ht="21.95" customHeight="1">
      <c r="A46" s="1193" t="s">
        <v>239</v>
      </c>
      <c r="B46" s="1193" t="s">
        <v>240</v>
      </c>
      <c r="C46" s="1193" t="s">
        <v>241</v>
      </c>
      <c r="D46" s="1193" t="s">
        <v>242</v>
      </c>
      <c r="E46" s="5416"/>
      <c r="F46" s="5416"/>
      <c r="G46" s="5416"/>
      <c r="H46" s="5415">
        <v>1</v>
      </c>
      <c r="I46" s="1193"/>
      <c r="J46" s="1193"/>
      <c r="K46" s="1193"/>
      <c r="L46" s="1236"/>
      <c r="M46" s="1536"/>
      <c r="N46" s="1536"/>
      <c r="O46" s="1536"/>
      <c r="P46" s="290"/>
      <c r="Q46" s="288"/>
      <c r="R46" s="289"/>
      <c r="S46" s="1879" t="str">
        <f>INDEX(PT_DIFFERENTIATION_NUM_IST_TE,MATCH(D46,PT_DIFFERENTIATION_IST_TE_ID,0))</f>
        <v>...</v>
      </c>
      <c r="T46" s="247" t="s">
        <v>428</v>
      </c>
      <c r="U46" s="237"/>
      <c r="V46" s="5373"/>
      <c r="W46" s="5374"/>
      <c r="X46" s="5374"/>
      <c r="Y46" s="5374"/>
      <c r="Z46" s="5374"/>
      <c r="AA46" s="5374"/>
      <c r="AB46" s="5374"/>
      <c r="AC46" s="5375"/>
      <c r="AD46" s="5373" t="str">
        <f>INDEX(PT_DIFFERENTIATION_IST_TE,MATCH(D46,PT_DIFFERENTIATION_IST_TE_ID,0))</f>
        <v/>
      </c>
      <c r="AE46" s="5374"/>
      <c r="AF46" s="5374"/>
      <c r="AG46" s="5374"/>
      <c r="AH46" s="5374"/>
      <c r="AI46" s="5374"/>
      <c r="AJ46" s="5374"/>
      <c r="AK46" s="5374"/>
      <c r="AL46" s="5375"/>
      <c r="AM46" s="1184" t="s">
        <v>429</v>
      </c>
      <c r="AO46" s="1550"/>
      <c r="AP46" s="1550" t="str">
        <f t="shared" si="1"/>
        <v xml:space="preserve">Источник тепловой энергии  </v>
      </c>
      <c r="AQ46" s="1550"/>
      <c r="AR46" s="1550"/>
      <c r="AS46" s="1557">
        <v>21</v>
      </c>
    </row>
    <row r="47" spans="1:45" ht="49.5" customHeight="1">
      <c r="A47" s="1193" t="s">
        <v>239</v>
      </c>
      <c r="B47" s="1193" t="s">
        <v>240</v>
      </c>
      <c r="C47" s="1193" t="s">
        <v>241</v>
      </c>
      <c r="D47" s="1193" t="s">
        <v>242</v>
      </c>
      <c r="E47" s="5416"/>
      <c r="F47" s="5416"/>
      <c r="G47" s="5416"/>
      <c r="H47" s="5416"/>
      <c r="I47" s="5235" t="str">
        <f>S46&amp;".1"</f>
        <v>....1</v>
      </c>
      <c r="J47" s="1193"/>
      <c r="K47" s="1193"/>
      <c r="L47" s="1236" t="s">
        <v>430</v>
      </c>
      <c r="P47" s="5385">
        <v>1</v>
      </c>
      <c r="Q47" s="1875"/>
      <c r="R47" s="292"/>
      <c r="S47" s="1879" t="str">
        <f>$I47</f>
        <v>....1</v>
      </c>
      <c r="T47" s="222" t="s">
        <v>431</v>
      </c>
      <c r="U47" s="237"/>
      <c r="V47" s="5366"/>
      <c r="W47" s="5367"/>
      <c r="X47" s="5367"/>
      <c r="Y47" s="5367"/>
      <c r="Z47" s="5367"/>
      <c r="AA47" s="5367"/>
      <c r="AB47" s="5367"/>
      <c r="AC47" s="5368"/>
      <c r="AD47" s="5366"/>
      <c r="AE47" s="5367"/>
      <c r="AF47" s="5367"/>
      <c r="AG47" s="5367"/>
      <c r="AH47" s="5367"/>
      <c r="AI47" s="5367"/>
      <c r="AJ47" s="5367"/>
      <c r="AK47" s="5367"/>
      <c r="AL47" s="5368"/>
      <c r="AM47" s="1184" t="s">
        <v>432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239</v>
      </c>
      <c r="B48" s="1193" t="s">
        <v>240</v>
      </c>
      <c r="C48" s="1193" t="s">
        <v>241</v>
      </c>
      <c r="D48" s="1193" t="s">
        <v>242</v>
      </c>
      <c r="E48" s="5416"/>
      <c r="F48" s="5416"/>
      <c r="G48" s="5416"/>
      <c r="H48" s="5416"/>
      <c r="I48" s="5217"/>
      <c r="J48" s="5235" t="str">
        <f>I47&amp;".1"</f>
        <v>....1.1</v>
      </c>
      <c r="K48" s="1193"/>
      <c r="L48" s="1236" t="s">
        <v>433</v>
      </c>
      <c r="P48" s="5385"/>
      <c r="Q48" s="5385">
        <v>1</v>
      </c>
      <c r="R48" s="293"/>
      <c r="S48" s="1879" t="str">
        <f>$J48</f>
        <v>....1.1</v>
      </c>
      <c r="T48" s="223" t="s">
        <v>434</v>
      </c>
      <c r="U48" s="237"/>
      <c r="V48" s="5366"/>
      <c r="W48" s="5367"/>
      <c r="X48" s="5367"/>
      <c r="Y48" s="5367"/>
      <c r="Z48" s="5367"/>
      <c r="AA48" s="5367"/>
      <c r="AB48" s="5367"/>
      <c r="AC48" s="5368"/>
      <c r="AD48" s="5366"/>
      <c r="AE48" s="5367"/>
      <c r="AF48" s="5367"/>
      <c r="AG48" s="5367"/>
      <c r="AH48" s="5367"/>
      <c r="AI48" s="5367"/>
      <c r="AJ48" s="5367"/>
      <c r="AK48" s="5367"/>
      <c r="AL48" s="5368"/>
      <c r="AM48" s="1184" t="s">
        <v>435</v>
      </c>
      <c r="AO48" s="1550"/>
      <c r="AP48" s="1550" t="str">
        <f t="shared" si="1"/>
        <v>Группа потребителей</v>
      </c>
      <c r="AQ48" s="1550"/>
      <c r="AR48" s="1550"/>
      <c r="AS48" s="1557">
        <v>21</v>
      </c>
    </row>
    <row r="49" spans="1:45" ht="21.95" customHeight="1">
      <c r="A49" s="1193" t="s">
        <v>239</v>
      </c>
      <c r="B49" s="1193" t="s">
        <v>240</v>
      </c>
      <c r="C49" s="1193" t="s">
        <v>241</v>
      </c>
      <c r="D49" s="1193" t="s">
        <v>242</v>
      </c>
      <c r="E49" s="5416"/>
      <c r="F49" s="5416"/>
      <c r="G49" s="5416"/>
      <c r="H49" s="5416"/>
      <c r="I49" s="5217"/>
      <c r="J49" s="5217"/>
      <c r="K49" s="5235" t="str">
        <f>J48&amp;".1"</f>
        <v>....1.1.1</v>
      </c>
      <c r="L49" s="1236" t="s">
        <v>436</v>
      </c>
      <c r="P49" s="5385"/>
      <c r="Q49" s="5385"/>
      <c r="R49" s="293">
        <v>1</v>
      </c>
      <c r="S49" s="1879" t="str">
        <f>$K49</f>
        <v>....1.1.1</v>
      </c>
      <c r="T49" s="1273"/>
      <c r="U49" s="237"/>
      <c r="V49" s="687"/>
      <c r="W49" s="262"/>
      <c r="X49" s="687"/>
      <c r="Y49" s="1183"/>
      <c r="Z49" s="5386"/>
      <c r="AA49" s="5245" t="s">
        <v>65</v>
      </c>
      <c r="AB49" s="5386"/>
      <c r="AC49" s="5245" t="s">
        <v>65</v>
      </c>
      <c r="AD49" s="687"/>
      <c r="AE49" s="262"/>
      <c r="AF49" s="687"/>
      <c r="AG49" s="1183"/>
      <c r="AH49" s="5386"/>
      <c r="AI49" s="5245" t="s">
        <v>65</v>
      </c>
      <c r="AJ49" s="5388"/>
      <c r="AK49" s="5245" t="s">
        <v>65</v>
      </c>
      <c r="AL49" s="1274"/>
      <c r="AM49" s="5405" t="s">
        <v>437</v>
      </c>
      <c r="AN49" s="1562" t="e">
        <f ca="1">STRCHECKDATE(V50:AL50)</f>
        <v>#NAME?</v>
      </c>
      <c r="AO49" s="1550"/>
      <c r="AP49" s="1550" t="str">
        <f t="shared" si="1"/>
        <v/>
      </c>
      <c r="AQ49" s="1550"/>
      <c r="AR49" s="1550"/>
      <c r="AS49" s="1557">
        <v>21</v>
      </c>
    </row>
    <row r="50" spans="1:45" ht="1.1499999999999999" customHeight="1">
      <c r="A50" s="1193" t="s">
        <v>239</v>
      </c>
      <c r="B50" s="1193" t="s">
        <v>240</v>
      </c>
      <c r="C50" s="1193" t="s">
        <v>241</v>
      </c>
      <c r="D50" s="1193" t="s">
        <v>242</v>
      </c>
      <c r="E50" s="5416"/>
      <c r="F50" s="5416"/>
      <c r="G50" s="5416"/>
      <c r="H50" s="5416"/>
      <c r="I50" s="5217"/>
      <c r="J50" s="5217"/>
      <c r="K50" s="5235"/>
      <c r="L50" s="1236"/>
      <c r="P50" s="5385"/>
      <c r="Q50" s="5385"/>
      <c r="R50" s="293"/>
      <c r="S50" s="1888"/>
      <c r="T50" s="237"/>
      <c r="U50" s="237"/>
      <c r="V50" s="262"/>
      <c r="W50" s="262"/>
      <c r="X50" s="262"/>
      <c r="Y50" s="265" t="str">
        <f>Z49&amp;"-"&amp;AB49</f>
        <v>-</v>
      </c>
      <c r="Z50" s="5387"/>
      <c r="AA50" s="5245"/>
      <c r="AB50" s="5387"/>
      <c r="AC50" s="5245"/>
      <c r="AD50" s="262"/>
      <c r="AE50" s="262"/>
      <c r="AF50" s="262"/>
      <c r="AG50" s="265" t="str">
        <f>AH49&amp;"-"&amp;AJ49</f>
        <v>-</v>
      </c>
      <c r="AH50" s="5387"/>
      <c r="AI50" s="5245"/>
      <c r="AJ50" s="5389"/>
      <c r="AK50" s="5245"/>
      <c r="AL50" s="1275"/>
      <c r="AM50" s="5406"/>
      <c r="AO50" s="1550"/>
      <c r="AP50" s="1550" t="str">
        <f t="shared" si="1"/>
        <v/>
      </c>
      <c r="AQ50" s="1550"/>
      <c r="AR50" s="1550"/>
      <c r="AS50" s="1557">
        <v>1</v>
      </c>
    </row>
    <row r="51" spans="1:45" ht="11.45" customHeight="1">
      <c r="A51" s="1193" t="s">
        <v>239</v>
      </c>
      <c r="B51" s="1193" t="s">
        <v>240</v>
      </c>
      <c r="C51" s="1193" t="s">
        <v>241</v>
      </c>
      <c r="D51" s="1193" t="s">
        <v>242</v>
      </c>
      <c r="E51" s="5416"/>
      <c r="F51" s="5416"/>
      <c r="G51" s="5416"/>
      <c r="H51" s="5416"/>
      <c r="I51" s="5217"/>
      <c r="J51" s="5235"/>
      <c r="K51" s="1193"/>
      <c r="L51" s="1236"/>
      <c r="P51" s="5385"/>
      <c r="Q51" s="5385"/>
      <c r="R51" s="292"/>
      <c r="S51" s="1204"/>
      <c r="T51" s="225" t="s">
        <v>438</v>
      </c>
      <c r="U51" s="536"/>
      <c r="V51" s="536"/>
      <c r="W51" s="536"/>
      <c r="X51" s="536"/>
      <c r="Y51" s="536"/>
      <c r="Z51" s="536"/>
      <c r="AA51" s="536"/>
      <c r="AB51" s="536"/>
      <c r="AC51" s="536"/>
      <c r="AD51" s="536"/>
      <c r="AE51" s="536"/>
      <c r="AF51" s="536"/>
      <c r="AG51" s="536"/>
      <c r="AH51" s="536"/>
      <c r="AI51" s="536"/>
      <c r="AJ51" s="536"/>
      <c r="AK51" s="536"/>
      <c r="AL51" s="261"/>
      <c r="AM51" s="5407"/>
      <c r="AO51" s="1550"/>
      <c r="AP51" s="1550" t="str">
        <f t="shared" si="1"/>
        <v>Добавить вид теплоносителя (параметры теплоносителя)</v>
      </c>
      <c r="AQ51" s="1550"/>
      <c r="AR51" s="1550"/>
      <c r="AS51" s="1557">
        <v>11</v>
      </c>
    </row>
    <row r="52" spans="1:45" ht="11.45" customHeight="1">
      <c r="A52" s="1193" t="s">
        <v>239</v>
      </c>
      <c r="B52" s="1193" t="s">
        <v>240</v>
      </c>
      <c r="C52" s="1193" t="s">
        <v>241</v>
      </c>
      <c r="D52" s="1193" t="s">
        <v>242</v>
      </c>
      <c r="E52" s="5416"/>
      <c r="F52" s="5416"/>
      <c r="G52" s="5416"/>
      <c r="H52" s="5416"/>
      <c r="I52" s="5235"/>
      <c r="J52" s="1193"/>
      <c r="K52" s="1193"/>
      <c r="L52" s="1236"/>
      <c r="P52" s="5385"/>
      <c r="Q52" s="1875"/>
      <c r="R52" s="292"/>
      <c r="S52" s="1204"/>
      <c r="T52" s="224" t="s">
        <v>439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239</v>
      </c>
      <c r="B53" s="1193" t="s">
        <v>240</v>
      </c>
      <c r="C53" s="1193" t="s">
        <v>241</v>
      </c>
      <c r="D53" s="1193" t="s">
        <v>242</v>
      </c>
      <c r="E53" s="5416"/>
      <c r="F53" s="5416"/>
      <c r="G53" s="5416"/>
      <c r="H53" s="5415"/>
      <c r="I53" s="1193"/>
      <c r="J53" s="1193"/>
      <c r="K53" s="1193"/>
      <c r="L53" s="1236"/>
      <c r="M53" s="1536"/>
      <c r="N53" s="1536"/>
      <c r="O53" s="1561"/>
      <c r="P53" s="296"/>
      <c r="Q53" s="311"/>
      <c r="R53" s="291"/>
      <c r="S53" s="1204"/>
      <c r="T53" s="301" t="s">
        <v>440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239</v>
      </c>
      <c r="B54" s="1301" t="s">
        <v>240</v>
      </c>
      <c r="C54" s="1301" t="s">
        <v>241</v>
      </c>
      <c r="D54" s="1300"/>
      <c r="E54" s="5416"/>
      <c r="F54" s="5416"/>
      <c r="G54" s="5415"/>
      <c r="H54" s="1300"/>
      <c r="I54" s="1300"/>
      <c r="J54" s="1300"/>
      <c r="K54" s="1300"/>
      <c r="L54" s="1303"/>
      <c r="M54" s="1304"/>
      <c r="N54" s="1304"/>
      <c r="O54" s="287"/>
      <c r="P54" s="1242"/>
      <c r="Q54" s="1243"/>
      <c r="R54" s="1242"/>
      <c r="S54" s="1248"/>
      <c r="T54" s="1251" t="s">
        <v>163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239</v>
      </c>
      <c r="B55" s="1301" t="s">
        <v>240</v>
      </c>
      <c r="C55" s="1300"/>
      <c r="D55" s="1300"/>
      <c r="E55" s="5416"/>
      <c r="F55" s="5415"/>
      <c r="G55" s="1300"/>
      <c r="H55" s="1300"/>
      <c r="I55" s="1300"/>
      <c r="J55" s="1300"/>
      <c r="K55" s="1300"/>
      <c r="L55" s="1303"/>
      <c r="M55" s="1305"/>
      <c r="N55" s="1305"/>
      <c r="O55" s="287"/>
      <c r="P55" s="1242"/>
      <c r="Q55" s="1243"/>
      <c r="R55" s="1242"/>
      <c r="S55" s="1248"/>
      <c r="T55" s="1251" t="s">
        <v>164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239</v>
      </c>
      <c r="B56" s="1301"/>
      <c r="C56" s="1301"/>
      <c r="D56" s="1301"/>
      <c r="E56" s="5415"/>
      <c r="F56" s="1301"/>
      <c r="G56" s="1301"/>
      <c r="H56" s="1301"/>
      <c r="I56" s="1301"/>
      <c r="J56" s="1301"/>
      <c r="K56" s="1301"/>
      <c r="L56" s="1307"/>
      <c r="M56" s="1305"/>
      <c r="N56" s="1305"/>
      <c r="O56" s="287"/>
      <c r="P56" s="316"/>
      <c r="Q56" s="1270"/>
      <c r="R56" s="316"/>
      <c r="S56" s="1248"/>
      <c r="T56" s="1251" t="s">
        <v>165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182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5379"/>
      <c r="U59" s="5379"/>
      <c r="V59" s="5379"/>
      <c r="W59" s="5379"/>
      <c r="X59" s="5379"/>
      <c r="Y59" s="5379"/>
      <c r="Z59" s="5379"/>
      <c r="AA59" s="5379"/>
      <c r="AB59" s="5379"/>
      <c r="AC59" s="5379"/>
      <c r="AD59" s="5379"/>
      <c r="AE59" s="5379"/>
      <c r="AF59" s="5379"/>
      <c r="AG59" s="5379"/>
      <c r="AH59" s="5379"/>
      <c r="AI59" s="5379"/>
      <c r="AJ59" s="5379"/>
      <c r="AK59" s="5379"/>
      <c r="AL59" s="5379"/>
      <c r="AM59" s="5379"/>
      <c r="AS59" s="1557">
        <v>27</v>
      </c>
    </row>
    <row r="60" spans="1:45" ht="65.25" customHeight="1">
      <c r="O60" s="1561"/>
      <c r="T60" s="5379"/>
      <c r="U60" s="5379"/>
      <c r="V60" s="5379"/>
      <c r="W60" s="5379"/>
      <c r="X60" s="5379"/>
      <c r="Y60" s="5379"/>
      <c r="Z60" s="5379"/>
      <c r="AA60" s="5379"/>
      <c r="AB60" s="5379"/>
      <c r="AC60" s="5379"/>
      <c r="AD60" s="5379"/>
      <c r="AE60" s="5379"/>
      <c r="AF60" s="5379"/>
      <c r="AG60" s="5379"/>
      <c r="AH60" s="5379"/>
      <c r="AI60" s="5379"/>
      <c r="AJ60" s="5379"/>
      <c r="AK60" s="5379"/>
      <c r="AL60" s="5379"/>
      <c r="AM60" s="5379"/>
      <c r="AS60" s="1557">
        <v>62</v>
      </c>
    </row>
    <row r="61" spans="1:45" ht="14.65" customHeight="1">
      <c r="O61" s="1561"/>
      <c r="AS61" s="1557">
        <v>14</v>
      </c>
    </row>
    <row r="62" spans="1:45" ht="18.75" customHeight="1">
      <c r="O62" s="1561"/>
      <c r="S62" s="1179"/>
      <c r="T62" s="5379"/>
      <c r="U62" s="5379"/>
      <c r="V62" s="5379"/>
      <c r="W62" s="5379"/>
      <c r="X62" s="5379"/>
      <c r="Y62" s="5379"/>
      <c r="Z62" s="5379"/>
      <c r="AA62" s="5379"/>
      <c r="AB62" s="5379"/>
      <c r="AC62" s="5379"/>
      <c r="AD62" s="5379"/>
      <c r="AE62" s="5379"/>
      <c r="AF62" s="5379"/>
      <c r="AG62" s="5379"/>
      <c r="AH62" s="5379"/>
      <c r="AI62" s="5379"/>
      <c r="AJ62" s="5379"/>
      <c r="AK62" s="5379"/>
      <c r="AL62" s="5379"/>
      <c r="AM62" s="5379"/>
      <c r="AS62" s="1557">
        <v>18</v>
      </c>
    </row>
    <row r="63" spans="1:45" ht="18.75" customHeight="1">
      <c r="O63" s="1561"/>
      <c r="T63" s="5379"/>
      <c r="U63" s="5379"/>
      <c r="V63" s="5379"/>
      <c r="W63" s="5379"/>
      <c r="X63" s="5379"/>
      <c r="Y63" s="5379"/>
      <c r="Z63" s="5379"/>
      <c r="AA63" s="5379"/>
      <c r="AB63" s="5379"/>
      <c r="AC63" s="5379"/>
      <c r="AD63" s="5379"/>
      <c r="AE63" s="5379"/>
      <c r="AF63" s="5379"/>
      <c r="AG63" s="5379"/>
      <c r="AH63" s="5379"/>
      <c r="AI63" s="5379"/>
      <c r="AJ63" s="5379"/>
      <c r="AK63" s="5379"/>
      <c r="AL63" s="5379"/>
      <c r="AM63" s="5379"/>
      <c r="AS63" s="1557">
        <v>18</v>
      </c>
    </row>
    <row r="64" spans="1:45" ht="29.25" customHeight="1">
      <c r="O64" s="1561"/>
      <c r="S64" s="1179"/>
      <c r="T64" s="5379"/>
      <c r="U64" s="5379"/>
      <c r="V64" s="5379"/>
      <c r="W64" s="5379"/>
      <c r="X64" s="5379"/>
      <c r="Y64" s="5379"/>
      <c r="Z64" s="5379"/>
      <c r="AA64" s="5379"/>
      <c r="AB64" s="5379"/>
      <c r="AC64" s="5379"/>
      <c r="AD64" s="5379"/>
      <c r="AE64" s="5379"/>
      <c r="AF64" s="5379"/>
      <c r="AG64" s="5379"/>
      <c r="AH64" s="5379"/>
      <c r="AI64" s="5379"/>
      <c r="AJ64" s="5379"/>
      <c r="AK64" s="5379"/>
      <c r="AL64" s="5379"/>
      <c r="AM64" s="5379"/>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15" hidden="1" customWidth="1"/>
    <col min="15" max="15" width="23.42578125" style="2015"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5415">
        <v>1</v>
      </c>
      <c r="F2" s="1193"/>
      <c r="G2" s="1193"/>
      <c r="H2" s="1193"/>
      <c r="I2" s="1193"/>
      <c r="J2" s="1193"/>
      <c r="K2" s="1193"/>
      <c r="L2" s="1236"/>
      <c r="M2" s="1536"/>
      <c r="N2" s="1536"/>
      <c r="O2" s="1536"/>
      <c r="P2" s="1516"/>
      <c r="Q2" s="296"/>
      <c r="R2" s="291"/>
      <c r="S2" s="1879" t="e">
        <f>INDEX(PT_DIFFERENTIATION_NUM_NTAR,MATCH(A2,PT_DIFFERENTIATION_NTAR_ID,0))</f>
        <v>#N/A</v>
      </c>
      <c r="T2" s="1451" t="s">
        <v>125</v>
      </c>
      <c r="U2" s="237"/>
      <c r="V2" s="5373"/>
      <c r="W2" s="5374"/>
      <c r="X2" s="5374"/>
      <c r="Y2" s="5374"/>
      <c r="Z2" s="5374"/>
      <c r="AA2" s="5374"/>
      <c r="AB2" s="5374"/>
      <c r="AC2" s="5375"/>
      <c r="AD2" s="5373" t="e">
        <f>INDEX(PT_DIFFERENTIATION_NTAR,MATCH(A2,PT_DIFFERENTIATION_NTAR_ID,0))</f>
        <v>#N/A</v>
      </c>
      <c r="AE2" s="5374"/>
      <c r="AF2" s="5374"/>
      <c r="AG2" s="5374"/>
      <c r="AH2" s="5374"/>
      <c r="AI2" s="5374"/>
      <c r="AJ2" s="5374"/>
      <c r="AK2" s="5374"/>
      <c r="AL2" s="5375"/>
      <c r="AM2" s="1184" t="s">
        <v>423</v>
      </c>
      <c r="AO2" s="1550"/>
      <c r="AP2" s="1550" t="str">
        <f t="shared" ref="AP2:AP15" si="0">IF(T2="","",T2)</f>
        <v>Наименование тарифа</v>
      </c>
      <c r="AQ2" s="1550"/>
      <c r="AR2" s="1550"/>
      <c r="AS2" s="1557">
        <v>0</v>
      </c>
    </row>
    <row r="3" spans="1:45" ht="21" hidden="1" customHeight="1">
      <c r="A3" s="1193"/>
      <c r="B3" s="1193"/>
      <c r="C3" s="1193"/>
      <c r="D3" s="1193"/>
      <c r="E3" s="5416"/>
      <c r="F3" s="5415">
        <v>1</v>
      </c>
      <c r="G3" s="1193"/>
      <c r="H3" s="1193"/>
      <c r="I3" s="1193"/>
      <c r="J3" s="1193"/>
      <c r="K3" s="1193"/>
      <c r="L3" s="1236"/>
      <c r="M3" s="1536"/>
      <c r="N3" s="1536"/>
      <c r="O3" s="1536"/>
      <c r="P3" s="1861"/>
      <c r="Q3" s="288"/>
      <c r="R3" s="289"/>
      <c r="S3" s="1879" t="e">
        <f>INDEX(PT_DIFFERENTIATION_NUM_TER,MATCH(B3,PT_DIFFERENTIATION_TER_ID,0))</f>
        <v>#N/A</v>
      </c>
      <c r="T3" s="1448" t="s">
        <v>424</v>
      </c>
      <c r="U3" s="237"/>
      <c r="V3" s="5373"/>
      <c r="W3" s="5374"/>
      <c r="X3" s="5374"/>
      <c r="Y3" s="5374"/>
      <c r="Z3" s="5374"/>
      <c r="AA3" s="5374"/>
      <c r="AB3" s="5374"/>
      <c r="AC3" s="5375"/>
      <c r="AD3" s="5373" t="e">
        <f>INDEX(PT_DIFFERENTIATION_TER,MATCH(B3,PT_DIFFERENTIATION_TER_ID,0))</f>
        <v>#N/A</v>
      </c>
      <c r="AE3" s="5374"/>
      <c r="AF3" s="5374"/>
      <c r="AG3" s="5374"/>
      <c r="AH3" s="5374"/>
      <c r="AI3" s="5374"/>
      <c r="AJ3" s="5374"/>
      <c r="AK3" s="5374"/>
      <c r="AL3" s="5375"/>
      <c r="AM3" s="1184" t="s">
        <v>425</v>
      </c>
      <c r="AO3" s="1550"/>
      <c r="AP3" s="1550" t="str">
        <f t="shared" si="0"/>
        <v>Территория действия тарифа</v>
      </c>
      <c r="AQ3" s="1550"/>
      <c r="AR3" s="1550"/>
      <c r="AS3" s="1557">
        <v>0</v>
      </c>
    </row>
    <row r="4" spans="1:45" ht="23.25" hidden="1" customHeight="1">
      <c r="A4" s="1193"/>
      <c r="B4" s="1193"/>
      <c r="C4" s="1193"/>
      <c r="D4" s="1193"/>
      <c r="E4" s="5416"/>
      <c r="F4" s="5416"/>
      <c r="G4" s="5415">
        <v>1</v>
      </c>
      <c r="H4" s="1193"/>
      <c r="I4" s="1193"/>
      <c r="J4" s="1193"/>
      <c r="K4" s="1193"/>
      <c r="L4" s="1236"/>
      <c r="M4" s="1536"/>
      <c r="N4" s="1536"/>
      <c r="O4" s="1536"/>
      <c r="P4" s="290"/>
      <c r="Q4" s="288"/>
      <c r="R4" s="289"/>
      <c r="S4" s="1879" t="e">
        <f>INDEX(PT_DIFFERENTIATION_NUM_CS,MATCH(C4,PT_DIFFERENTIATION_CS_ID,0))</f>
        <v>#N/A</v>
      </c>
      <c r="T4" s="246" t="s">
        <v>426</v>
      </c>
      <c r="U4" s="237"/>
      <c r="V4" s="5373"/>
      <c r="W4" s="5374"/>
      <c r="X4" s="5374"/>
      <c r="Y4" s="5374"/>
      <c r="Z4" s="5374"/>
      <c r="AA4" s="5374"/>
      <c r="AB4" s="5374"/>
      <c r="AC4" s="5375"/>
      <c r="AD4" s="5373" t="e">
        <f>INDEX(PT_DIFFERENTIATION_CS,MATCH(C4,PT_DIFFERENTIATION_CS_ID,0))</f>
        <v>#N/A</v>
      </c>
      <c r="AE4" s="5374"/>
      <c r="AF4" s="5374"/>
      <c r="AG4" s="5374"/>
      <c r="AH4" s="5374"/>
      <c r="AI4" s="5374"/>
      <c r="AJ4" s="5374"/>
      <c r="AK4" s="5374"/>
      <c r="AL4" s="5375"/>
      <c r="AM4" s="1184" t="s">
        <v>427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5416"/>
      <c r="F5" s="5416"/>
      <c r="G5" s="5416"/>
      <c r="H5" s="5415">
        <v>1</v>
      </c>
      <c r="I5" s="1193"/>
      <c r="J5" s="1193"/>
      <c r="K5" s="1193"/>
      <c r="L5" s="1236"/>
      <c r="M5" s="1536"/>
      <c r="N5" s="1536"/>
      <c r="O5" s="1536"/>
      <c r="P5" s="290"/>
      <c r="Q5" s="288"/>
      <c r="R5" s="289"/>
      <c r="S5" s="1879" t="e">
        <f>INDEX(PT_DIFFERENTIATION_NUM_IST_TE,MATCH(D5,PT_DIFFERENTIATION_IST_TE_ID,0))</f>
        <v>#N/A</v>
      </c>
      <c r="T5" s="247" t="s">
        <v>428</v>
      </c>
      <c r="U5" s="237"/>
      <c r="V5" s="5373"/>
      <c r="W5" s="5374"/>
      <c r="X5" s="5374"/>
      <c r="Y5" s="5374"/>
      <c r="Z5" s="5374"/>
      <c r="AA5" s="5374"/>
      <c r="AB5" s="5374"/>
      <c r="AC5" s="5375"/>
      <c r="AD5" s="5373" t="e">
        <f>INDEX(PT_DIFFERENTIATION_IST_TE,MATCH(D5,PT_DIFFERENTIATION_IST_TE_ID,0))</f>
        <v>#N/A</v>
      </c>
      <c r="AE5" s="5374"/>
      <c r="AF5" s="5374"/>
      <c r="AG5" s="5374"/>
      <c r="AH5" s="5374"/>
      <c r="AI5" s="5374"/>
      <c r="AJ5" s="5374"/>
      <c r="AK5" s="5374"/>
      <c r="AL5" s="5375"/>
      <c r="AM5" s="1184" t="s">
        <v>429</v>
      </c>
      <c r="AO5" s="1550"/>
      <c r="AP5" s="1550" t="str">
        <f t="shared" si="0"/>
        <v xml:space="preserve">Источник тепловой энергии  </v>
      </c>
      <c r="AQ5" s="1550"/>
      <c r="AR5" s="1550"/>
      <c r="AS5" s="1557">
        <v>0</v>
      </c>
    </row>
    <row r="6" spans="1:45" ht="47.25" hidden="1" customHeight="1">
      <c r="A6" s="1193"/>
      <c r="B6" s="1193"/>
      <c r="C6" s="1193"/>
      <c r="D6" s="1193"/>
      <c r="E6" s="5416"/>
      <c r="F6" s="5416"/>
      <c r="G6" s="5416"/>
      <c r="H6" s="5416"/>
      <c r="I6" s="5235" t="e">
        <f>S5&amp;".1"</f>
        <v>#N/A</v>
      </c>
      <c r="J6" s="1193"/>
      <c r="K6" s="1193"/>
      <c r="L6" s="1236" t="s">
        <v>430</v>
      </c>
      <c r="M6" s="1561"/>
      <c r="P6" s="5385">
        <v>1</v>
      </c>
      <c r="Q6" s="1875"/>
      <c r="R6" s="292"/>
      <c r="S6" s="1879" t="e">
        <f>$I6</f>
        <v>#N/A</v>
      </c>
      <c r="T6" s="222" t="s">
        <v>431</v>
      </c>
      <c r="U6" s="237"/>
      <c r="V6" s="5366"/>
      <c r="W6" s="5367"/>
      <c r="X6" s="5367"/>
      <c r="Y6" s="5367"/>
      <c r="Z6" s="5367"/>
      <c r="AA6" s="5367"/>
      <c r="AB6" s="5367"/>
      <c r="AC6" s="5368"/>
      <c r="AD6" s="5366"/>
      <c r="AE6" s="5367"/>
      <c r="AF6" s="5367"/>
      <c r="AG6" s="5367"/>
      <c r="AH6" s="5367"/>
      <c r="AI6" s="5367"/>
      <c r="AJ6" s="5367"/>
      <c r="AK6" s="5367"/>
      <c r="AL6" s="5368"/>
      <c r="AM6" s="1184" t="s">
        <v>432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5416"/>
      <c r="F7" s="5416"/>
      <c r="G7" s="5416"/>
      <c r="H7" s="5416"/>
      <c r="I7" s="5217"/>
      <c r="J7" s="5235" t="e">
        <f>I6&amp;".1"</f>
        <v>#N/A</v>
      </c>
      <c r="K7" s="1193"/>
      <c r="L7" s="1236" t="s">
        <v>433</v>
      </c>
      <c r="M7" s="1561"/>
      <c r="N7" s="1557"/>
      <c r="P7" s="5385"/>
      <c r="Q7" s="5385">
        <v>1</v>
      </c>
      <c r="R7" s="293"/>
      <c r="S7" s="1879" t="e">
        <f>$J7</f>
        <v>#N/A</v>
      </c>
      <c r="T7" s="223" t="s">
        <v>434</v>
      </c>
      <c r="U7" s="237"/>
      <c r="V7" s="5366"/>
      <c r="W7" s="5367"/>
      <c r="X7" s="5367"/>
      <c r="Y7" s="5367"/>
      <c r="Z7" s="5367"/>
      <c r="AA7" s="5367"/>
      <c r="AB7" s="5367"/>
      <c r="AC7" s="5368"/>
      <c r="AD7" s="5366"/>
      <c r="AE7" s="5367"/>
      <c r="AF7" s="5367"/>
      <c r="AG7" s="5367"/>
      <c r="AH7" s="5367"/>
      <c r="AI7" s="5367"/>
      <c r="AJ7" s="5367"/>
      <c r="AK7" s="5367"/>
      <c r="AL7" s="5368"/>
      <c r="AM7" s="1184" t="s">
        <v>435</v>
      </c>
      <c r="AO7" s="1550"/>
      <c r="AP7" s="1550" t="str">
        <f t="shared" si="0"/>
        <v>Группа потребителей</v>
      </c>
      <c r="AQ7" s="1550"/>
      <c r="AR7" s="1550"/>
      <c r="AS7" s="1557">
        <v>0</v>
      </c>
    </row>
    <row r="8" spans="1:45" ht="21" hidden="1" customHeight="1">
      <c r="A8" s="1193"/>
      <c r="B8" s="1193"/>
      <c r="C8" s="1193"/>
      <c r="D8" s="1193"/>
      <c r="E8" s="5416"/>
      <c r="F8" s="5416"/>
      <c r="G8" s="5416"/>
      <c r="H8" s="5416"/>
      <c r="I8" s="5217"/>
      <c r="J8" s="5217"/>
      <c r="K8" s="5235" t="e">
        <f>J7&amp;".1"</f>
        <v>#N/A</v>
      </c>
      <c r="L8" s="1236" t="s">
        <v>436</v>
      </c>
      <c r="M8" s="1561"/>
      <c r="N8" s="1557"/>
      <c r="O8" s="1557"/>
      <c r="P8" s="5385"/>
      <c r="Q8" s="5385"/>
      <c r="R8" s="293">
        <v>1</v>
      </c>
      <c r="S8" s="1879" t="e">
        <f>$K8</f>
        <v>#N/A</v>
      </c>
      <c r="T8" s="1273"/>
      <c r="U8" s="237"/>
      <c r="V8" s="687"/>
      <c r="W8" s="262"/>
      <c r="X8" s="687"/>
      <c r="Y8" s="1183"/>
      <c r="Z8" s="5386"/>
      <c r="AA8" s="5245" t="s">
        <v>65</v>
      </c>
      <c r="AB8" s="5386"/>
      <c r="AC8" s="5245" t="s">
        <v>65</v>
      </c>
      <c r="AD8" s="687"/>
      <c r="AE8" s="262"/>
      <c r="AF8" s="687"/>
      <c r="AG8" s="1183"/>
      <c r="AH8" s="5386"/>
      <c r="AI8" s="5245" t="s">
        <v>65</v>
      </c>
      <c r="AJ8" s="5386"/>
      <c r="AK8" s="5245" t="s">
        <v>65</v>
      </c>
      <c r="AL8" s="262"/>
      <c r="AM8" s="5405" t="s">
        <v>437</v>
      </c>
      <c r="AN8" s="1562" t="e">
        <f ca="1">STRCHECKDATE(V9:AL9)</f>
        <v>#NAME?</v>
      </c>
      <c r="AO8" s="1550"/>
      <c r="AP8" s="1550" t="str">
        <f t="shared" si="0"/>
        <v/>
      </c>
      <c r="AQ8" s="1550"/>
      <c r="AR8" s="1550"/>
      <c r="AS8" s="1557">
        <v>0</v>
      </c>
    </row>
    <row r="9" spans="1:45" ht="0.75" hidden="1" customHeight="1">
      <c r="A9" s="1193"/>
      <c r="B9" s="1193"/>
      <c r="C9" s="1193"/>
      <c r="D9" s="1193"/>
      <c r="E9" s="5416"/>
      <c r="F9" s="5416"/>
      <c r="G9" s="5416"/>
      <c r="H9" s="5416"/>
      <c r="I9" s="5217"/>
      <c r="J9" s="5217"/>
      <c r="K9" s="5235"/>
      <c r="L9" s="1236"/>
      <c r="M9" s="1561"/>
      <c r="N9" s="1557"/>
      <c r="O9" s="1557"/>
      <c r="P9" s="5385"/>
      <c r="Q9" s="5385"/>
      <c r="R9" s="293"/>
      <c r="S9" s="1888"/>
      <c r="T9" s="237"/>
      <c r="U9" s="237"/>
      <c r="V9" s="262"/>
      <c r="W9" s="262"/>
      <c r="X9" s="262"/>
      <c r="Y9" s="265" t="str">
        <f>Z8&amp;"-"&amp;AB8</f>
        <v>-</v>
      </c>
      <c r="Z9" s="5387"/>
      <c r="AA9" s="5245"/>
      <c r="AB9" s="5387"/>
      <c r="AC9" s="5245"/>
      <c r="AD9" s="262"/>
      <c r="AE9" s="262"/>
      <c r="AF9" s="262"/>
      <c r="AG9" s="265" t="str">
        <f>AH8&amp;"-"&amp;AJ8</f>
        <v>-</v>
      </c>
      <c r="AH9" s="5387"/>
      <c r="AI9" s="5245"/>
      <c r="AJ9" s="5387"/>
      <c r="AK9" s="5245"/>
      <c r="AL9" s="262"/>
      <c r="AM9" s="5406"/>
      <c r="AO9" s="1550"/>
      <c r="AP9" s="1550" t="str">
        <f t="shared" si="0"/>
        <v/>
      </c>
      <c r="AQ9" s="1550"/>
      <c r="AR9" s="1550"/>
      <c r="AS9" s="1557">
        <v>0</v>
      </c>
    </row>
    <row r="10" spans="1:45" ht="15" hidden="1" customHeight="1">
      <c r="A10" s="1193"/>
      <c r="B10" s="1193"/>
      <c r="C10" s="1193"/>
      <c r="D10" s="1193"/>
      <c r="E10" s="5416"/>
      <c r="F10" s="5416"/>
      <c r="G10" s="5416"/>
      <c r="H10" s="5416"/>
      <c r="I10" s="5217"/>
      <c r="J10" s="5235"/>
      <c r="K10" s="1193"/>
      <c r="L10" s="1236"/>
      <c r="M10" s="1561"/>
      <c r="N10" s="1557"/>
      <c r="P10" s="5385"/>
      <c r="Q10" s="5385"/>
      <c r="R10" s="292"/>
      <c r="S10" s="1204"/>
      <c r="T10" s="225" t="s">
        <v>438</v>
      </c>
      <c r="U10" s="536"/>
      <c r="V10" s="536"/>
      <c r="W10" s="536"/>
      <c r="X10" s="536"/>
      <c r="Y10" s="536"/>
      <c r="Z10" s="536"/>
      <c r="AA10" s="536"/>
      <c r="AB10" s="536"/>
      <c r="AC10" s="536"/>
      <c r="AD10" s="536"/>
      <c r="AE10" s="536"/>
      <c r="AF10" s="536"/>
      <c r="AG10" s="536"/>
      <c r="AH10" s="536"/>
      <c r="AI10" s="536"/>
      <c r="AJ10" s="536"/>
      <c r="AK10" s="536"/>
      <c r="AL10" s="261"/>
      <c r="AM10" s="540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5416"/>
      <c r="F11" s="5416"/>
      <c r="G11" s="5416"/>
      <c r="H11" s="5416"/>
      <c r="I11" s="5235"/>
      <c r="J11" s="1193"/>
      <c r="K11" s="1193"/>
      <c r="L11" s="1236"/>
      <c r="M11" s="1561"/>
      <c r="P11" s="5385"/>
      <c r="Q11" s="1875"/>
      <c r="R11" s="292"/>
      <c r="S11" s="1204"/>
      <c r="T11" s="224" t="s">
        <v>439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5416"/>
      <c r="F12" s="5416"/>
      <c r="G12" s="5416"/>
      <c r="H12" s="5415"/>
      <c r="I12" s="1193"/>
      <c r="J12" s="1193"/>
      <c r="K12" s="1193"/>
      <c r="L12" s="1236"/>
      <c r="M12" s="1536"/>
      <c r="N12" s="1536"/>
      <c r="O12" s="1561"/>
      <c r="P12" s="296"/>
      <c r="Q12" s="311"/>
      <c r="R12" s="291"/>
      <c r="S12" s="1204"/>
      <c r="T12" s="301" t="s">
        <v>440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5416"/>
      <c r="F13" s="5416"/>
      <c r="G13" s="5415"/>
      <c r="H13" s="1895"/>
      <c r="I13" s="1895"/>
      <c r="J13" s="1895"/>
      <c r="K13" s="1895"/>
      <c r="L13" s="1306"/>
      <c r="M13" s="1536"/>
      <c r="N13" s="1536"/>
      <c r="O13" s="1561"/>
      <c r="P13" s="1242"/>
      <c r="Q13" s="1243"/>
      <c r="R13" s="1242"/>
      <c r="S13" s="1244"/>
      <c r="T13" s="1245" t="s">
        <v>163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5416"/>
      <c r="F14" s="5415"/>
      <c r="G14" s="1895"/>
      <c r="H14" s="1895"/>
      <c r="I14" s="1895"/>
      <c r="J14" s="1895"/>
      <c r="K14" s="1895"/>
      <c r="L14" s="1306"/>
      <c r="M14" s="1896"/>
      <c r="N14" s="1896"/>
      <c r="O14" s="1561"/>
      <c r="P14" s="1242"/>
      <c r="Q14" s="1243"/>
      <c r="R14" s="1242"/>
      <c r="S14" s="1248"/>
      <c r="T14" s="1249" t="s">
        <v>164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5415"/>
      <c r="F15" s="1895"/>
      <c r="G15" s="1895"/>
      <c r="H15" s="1895"/>
      <c r="I15" s="1895"/>
      <c r="J15" s="1895"/>
      <c r="K15" s="1895"/>
      <c r="L15" s="1306"/>
      <c r="M15" s="1896"/>
      <c r="N15" s="1896"/>
      <c r="O15" s="1561"/>
      <c r="P15" s="1242"/>
      <c r="Q15" s="1243"/>
      <c r="R15" s="1242"/>
      <c r="S15" s="1248"/>
      <c r="T15" s="1251" t="s">
        <v>165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5378"/>
      <c r="AI17" s="5377" t="s">
        <v>65</v>
      </c>
      <c r="AJ17" s="5378"/>
      <c r="AK17" s="5377" t="s">
        <v>65</v>
      </c>
      <c r="AS17" s="1557">
        <v>0</v>
      </c>
    </row>
    <row r="18" spans="1:45" ht="14.25" hidden="1" customHeight="1">
      <c r="AD18" s="1286"/>
      <c r="AE18" s="1286"/>
      <c r="AF18" s="1286"/>
      <c r="AG18" s="265" t="str">
        <f>AH17&amp;"-"&amp;AJ17</f>
        <v>-</v>
      </c>
      <c r="AH18" s="5377"/>
      <c r="AI18" s="5377"/>
      <c r="AJ18" s="5377"/>
      <c r="AK18" s="5377"/>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441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442</v>
      </c>
      <c r="P22" s="1288"/>
      <c r="Q22" s="1297"/>
      <c r="R22" s="1297"/>
      <c r="S22" s="665"/>
      <c r="T22" s="1292" t="s">
        <v>443</v>
      </c>
      <c r="AA22" s="531" t="s">
        <v>444</v>
      </c>
      <c r="AC22" s="531" t="s">
        <v>445</v>
      </c>
      <c r="AD22" s="1292" t="s">
        <v>443</v>
      </c>
      <c r="AI22" s="531" t="s">
        <v>446</v>
      </c>
      <c r="AK22" s="531" t="s">
        <v>445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535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359"/>
      <c r="U26" s="5359"/>
      <c r="V26" s="5359"/>
      <c r="W26" s="5359"/>
      <c r="X26" s="5359"/>
      <c r="Y26" s="5359"/>
      <c r="Z26" s="5359"/>
      <c r="AA26" s="5359"/>
      <c r="AB26" s="5359"/>
      <c r="AC26" s="5359"/>
      <c r="AD26" s="5359"/>
      <c r="AE26" s="5359"/>
      <c r="AF26" s="5359"/>
      <c r="AG26" s="5359"/>
      <c r="AH26" s="5359"/>
      <c r="AI26" s="5359"/>
      <c r="AJ26" s="5359"/>
      <c r="AK26" s="1169"/>
      <c r="AS26" s="1557">
        <v>14</v>
      </c>
    </row>
    <row r="27" spans="1:45" ht="14.65" customHeight="1">
      <c r="Q27" s="312"/>
      <c r="R27" s="312"/>
      <c r="S27" s="5331" t="str">
        <f>IF(org=0,"Не определено",org)</f>
        <v>ПАО "ТГК-1" филиал "Невский"</v>
      </c>
      <c r="T27" s="5331"/>
      <c r="U27" s="5331"/>
      <c r="V27" s="5331"/>
      <c r="W27" s="5331"/>
      <c r="X27" s="5331"/>
      <c r="Y27" s="5331"/>
      <c r="Z27" s="5331"/>
      <c r="AA27" s="5331"/>
      <c r="AB27" s="5331"/>
      <c r="AC27" s="5331"/>
      <c r="AD27" s="5331"/>
      <c r="AE27" s="5331"/>
      <c r="AF27" s="5331"/>
      <c r="AG27" s="5331"/>
      <c r="AH27" s="5331"/>
      <c r="AI27" s="5331"/>
      <c r="AJ27" s="5331"/>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5370" t="s">
        <v>42</v>
      </c>
      <c r="T29" s="5370"/>
      <c r="U29" s="1298"/>
      <c r="V29" s="5372" t="str">
        <f>IF(TITLE_NAME_OR_PR_CHANGE="",IF(TITLE_NAME_OR_PR="","",TITLE_NAME_OR_PR),TITLE_NAME_OR_PR_CHANGE)</f>
        <v>Комитет по тарифам Санкт-Петербурга</v>
      </c>
      <c r="W29" s="5372"/>
      <c r="X29" s="5372"/>
      <c r="Y29" s="5372"/>
      <c r="Z29" s="5372"/>
      <c r="AA29" s="5372"/>
      <c r="AB29" s="5372"/>
      <c r="AC29" s="1561"/>
      <c r="AD29" s="5372" t="str">
        <f>IF(TITLE_NAME_OR_PR_CHANGE="",IF(TITLE_NAME_OR_PR="","",TITLE_NAME_OR_PR),TITLE_NAME_OR_PR_CHANGE)</f>
        <v>Комитет по тарифам Санкт-Петербурга</v>
      </c>
      <c r="AE29" s="5372"/>
      <c r="AF29" s="5372"/>
      <c r="AG29" s="5372"/>
      <c r="AH29" s="5372"/>
      <c r="AI29" s="5372"/>
      <c r="AJ29" s="5372"/>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5370" t="s">
        <v>447</v>
      </c>
      <c r="T30" s="5370"/>
      <c r="U30" s="1298"/>
      <c r="V30" s="5371">
        <f>IF(TITLE_DATE_PR_CHANGE="",IF(TITLE_DATE_PR="","",TITLE_DATE_PR),TITLE_DATE_PR_CHANGE)</f>
        <v>45470</v>
      </c>
      <c r="W30" s="5371"/>
      <c r="X30" s="5371"/>
      <c r="Y30" s="5371"/>
      <c r="Z30" s="5371"/>
      <c r="AA30" s="5371"/>
      <c r="AB30" s="5371"/>
      <c r="AC30" s="1561"/>
      <c r="AD30" s="5371">
        <f>IF(TITLE_DATE_PR_CHANGE="",IF(TITLE_DATE_PR="","",TITLE_DATE_PR),TITLE_DATE_PR_CHANGE)</f>
        <v>45470</v>
      </c>
      <c r="AE30" s="5371"/>
      <c r="AF30" s="5371"/>
      <c r="AG30" s="5371"/>
      <c r="AH30" s="5371"/>
      <c r="AI30" s="5371"/>
      <c r="AJ30" s="5371"/>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5370" t="s">
        <v>448</v>
      </c>
      <c r="T31" s="5370"/>
      <c r="U31" s="1298"/>
      <c r="V31" s="5372" t="str">
        <f>IF(TITLE_NUMBER_PR_CHANGE="",IF(TITLE_NUMBER_PR="","",TITLE_NUMBER_PR),TITLE_NUMBER_PR_CHANGE)</f>
        <v>94-р</v>
      </c>
      <c r="W31" s="5372"/>
      <c r="X31" s="5372"/>
      <c r="Y31" s="5372"/>
      <c r="Z31" s="5372"/>
      <c r="AA31" s="5372"/>
      <c r="AB31" s="5372"/>
      <c r="AC31" s="1561"/>
      <c r="AD31" s="5372" t="str">
        <f>IF(TITLE_NUMBER_PR_CHANGE="",IF(TITLE_NUMBER_PR="","",TITLE_NUMBER_PR),TITLE_NUMBER_PR_CHANGE)</f>
        <v>94-р</v>
      </c>
      <c r="AE31" s="5372"/>
      <c r="AF31" s="5372"/>
      <c r="AG31" s="5372"/>
      <c r="AH31" s="5372"/>
      <c r="AI31" s="5372"/>
      <c r="AJ31" s="5372"/>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5370" t="s">
        <v>44</v>
      </c>
      <c r="T32" s="5370"/>
      <c r="U32" s="1298"/>
      <c r="V32" s="5372" t="str">
        <f>IF(TITLE_IST_PUB_CHANGE="",IF(TITLE_IST_PUB="","",TITLE_IST_PUB),TITLE_IST_PUB_CHANGE)</f>
        <v>http://publication.pravo.gov.ru/document/7801202407010029</v>
      </c>
      <c r="W32" s="5372"/>
      <c r="X32" s="5372"/>
      <c r="Y32" s="5372"/>
      <c r="Z32" s="5372"/>
      <c r="AA32" s="5372"/>
      <c r="AB32" s="5372"/>
      <c r="AC32" s="1561"/>
      <c r="AD32" s="5372" t="str">
        <f>IF(TITLE_IST_PUB_CHANGE="",IF(TITLE_IST_PUB="","",TITLE_IST_PUB),TITLE_IST_PUB_CHANGE)</f>
        <v>http://publication.pravo.gov.ru/document/7801202407010029</v>
      </c>
      <c r="AE32" s="5372"/>
      <c r="AF32" s="5372"/>
      <c r="AG32" s="5372"/>
      <c r="AH32" s="5372"/>
      <c r="AI32" s="5372"/>
      <c r="AJ32" s="5372"/>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5370" t="s">
        <v>449</v>
      </c>
      <c r="T34" s="5370"/>
      <c r="U34" s="1298"/>
      <c r="V34" s="5371">
        <f>IF(TITLE_DATE_PR_CHANGE="",IF(TITLE_DATE_PR="","",TITLE_DATE_PR),TITLE_DATE_PR_CHANGE)</f>
        <v>45470</v>
      </c>
      <c r="W34" s="5371"/>
      <c r="X34" s="5371"/>
      <c r="Y34" s="5371"/>
      <c r="Z34" s="5371"/>
      <c r="AA34" s="5371"/>
      <c r="AB34" s="5371"/>
      <c r="AC34" s="1561"/>
      <c r="AD34" s="5371">
        <f>IF(TITLE_DATE_PR_CHANGE="",IF(TITLE_DATE_PR="","",TITLE_DATE_PR),TITLE_DATE_PR_CHANGE)</f>
        <v>45470</v>
      </c>
      <c r="AE34" s="5371"/>
      <c r="AF34" s="5371"/>
      <c r="AG34" s="5371"/>
      <c r="AH34" s="5371"/>
      <c r="AI34" s="5371"/>
      <c r="AJ34" s="5371"/>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5370" t="s">
        <v>450</v>
      </c>
      <c r="T35" s="5370"/>
      <c r="U35" s="1298"/>
      <c r="V35" s="5372" t="str">
        <f>IF(TITLE_NUMBER_PR_CHANGE="",IF(TITLE_NUMBER_PR="","",TITLE_NUMBER_PR),TITLE_NUMBER_PR_CHANGE)</f>
        <v>94-р</v>
      </c>
      <c r="W35" s="5372"/>
      <c r="X35" s="5372"/>
      <c r="Y35" s="5372"/>
      <c r="Z35" s="5372"/>
      <c r="AA35" s="5372"/>
      <c r="AB35" s="5372"/>
      <c r="AC35" s="1561"/>
      <c r="AD35" s="5372" t="str">
        <f>IF(TITLE_NUMBER_PR_CHANGE="",IF(TITLE_NUMBER_PR="","",TITLE_NUMBER_PR),TITLE_NUMBER_PR_CHANGE)</f>
        <v>94-р</v>
      </c>
      <c r="AE35" s="5372"/>
      <c r="AF35" s="5372"/>
      <c r="AG35" s="5372"/>
      <c r="AH35" s="5372"/>
      <c r="AI35" s="5372"/>
      <c r="AJ35" s="5372"/>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451</v>
      </c>
      <c r="AD36" s="1561"/>
      <c r="AE36" s="1561"/>
      <c r="AF36" s="1561"/>
      <c r="AG36" s="1561"/>
      <c r="AH36" s="1561"/>
      <c r="AI36" s="1561"/>
      <c r="AJ36" s="1561"/>
      <c r="AK36" s="1568" t="s">
        <v>451</v>
      </c>
      <c r="AN36" s="304"/>
      <c r="AO36" s="304"/>
      <c r="AP36" s="304"/>
      <c r="AQ36" s="304"/>
      <c r="AR36" s="304"/>
      <c r="AS36" s="354">
        <v>0</v>
      </c>
    </row>
    <row r="37" spans="1:45" ht="14.65" customHeight="1">
      <c r="Q37" s="312"/>
      <c r="R37" s="312"/>
      <c r="S37" s="1201"/>
      <c r="T37" s="393"/>
      <c r="U37" s="1170"/>
      <c r="V37" s="5393"/>
      <c r="W37" s="5393"/>
      <c r="X37" s="5393"/>
      <c r="Y37" s="5393"/>
      <c r="Z37" s="5393"/>
      <c r="AA37" s="5393"/>
      <c r="AB37" s="5393"/>
      <c r="AC37" s="5393"/>
      <c r="AD37" s="5393"/>
      <c r="AE37" s="5393"/>
      <c r="AF37" s="5393"/>
      <c r="AG37" s="5393"/>
      <c r="AH37" s="5393"/>
      <c r="AI37" s="5393"/>
      <c r="AJ37" s="5393"/>
      <c r="AK37" s="5393"/>
      <c r="AS37" s="1557">
        <v>14</v>
      </c>
    </row>
    <row r="38" spans="1:45" ht="14.65" customHeight="1">
      <c r="Q38" s="312"/>
      <c r="R38" s="312"/>
      <c r="S38" s="5235" t="s">
        <v>327</v>
      </c>
      <c r="T38" s="5235"/>
      <c r="U38" s="5235"/>
      <c r="V38" s="5235"/>
      <c r="W38" s="5235"/>
      <c r="X38" s="5235"/>
      <c r="Y38" s="5235"/>
      <c r="Z38" s="5235"/>
      <c r="AA38" s="5235"/>
      <c r="AB38" s="5235"/>
      <c r="AC38" s="5235"/>
      <c r="AD38" s="5235"/>
      <c r="AE38" s="5235"/>
      <c r="AF38" s="5235"/>
      <c r="AG38" s="5235"/>
      <c r="AH38" s="5235"/>
      <c r="AI38" s="5235"/>
      <c r="AJ38" s="5235"/>
      <c r="AK38" s="5235"/>
      <c r="AL38" s="5235"/>
      <c r="AM38" s="5235" t="s">
        <v>328</v>
      </c>
      <c r="AS38" s="1557">
        <v>14</v>
      </c>
    </row>
    <row r="39" spans="1:45" ht="14.65" customHeight="1">
      <c r="Q39" s="312"/>
      <c r="R39" s="312"/>
      <c r="S39" s="5395" t="s">
        <v>90</v>
      </c>
      <c r="T39" s="5339" t="s">
        <v>452</v>
      </c>
      <c r="U39" s="274"/>
      <c r="V39" s="5396" t="s">
        <v>453</v>
      </c>
      <c r="W39" s="5397"/>
      <c r="X39" s="5397"/>
      <c r="Y39" s="5397"/>
      <c r="Z39" s="5397"/>
      <c r="AA39" s="5397"/>
      <c r="AB39" s="5398"/>
      <c r="AC39" s="5399" t="s">
        <v>454</v>
      </c>
      <c r="AD39" s="5396" t="s">
        <v>453</v>
      </c>
      <c r="AE39" s="5397"/>
      <c r="AF39" s="5397"/>
      <c r="AG39" s="5397"/>
      <c r="AH39" s="5397"/>
      <c r="AI39" s="5397"/>
      <c r="AJ39" s="5398"/>
      <c r="AK39" s="5399" t="s">
        <v>455</v>
      </c>
      <c r="AL39" s="5402" t="s">
        <v>456</v>
      </c>
      <c r="AM39" s="5235"/>
      <c r="AS39" s="1557">
        <v>14</v>
      </c>
    </row>
    <row r="40" spans="1:45" ht="35.65" customHeight="1">
      <c r="Q40" s="312"/>
      <c r="R40" s="312"/>
      <c r="S40" s="5395"/>
      <c r="T40" s="5339"/>
      <c r="U40" s="960"/>
      <c r="V40" s="5311" t="s">
        <v>457</v>
      </c>
      <c r="W40" s="5390" t="s">
        <v>458</v>
      </c>
      <c r="X40" s="5217" t="s">
        <v>459</v>
      </c>
      <c r="Y40" s="5216"/>
      <c r="Z40" s="5217" t="s">
        <v>477</v>
      </c>
      <c r="AA40" s="5222"/>
      <c r="AB40" s="5216"/>
      <c r="AC40" s="5400"/>
      <c r="AD40" s="5311" t="s">
        <v>457</v>
      </c>
      <c r="AE40" s="5390" t="s">
        <v>458</v>
      </c>
      <c r="AF40" s="5217" t="s">
        <v>459</v>
      </c>
      <c r="AG40" s="5216"/>
      <c r="AH40" s="5217" t="s">
        <v>460</v>
      </c>
      <c r="AI40" s="5222"/>
      <c r="AJ40" s="5216"/>
      <c r="AK40" s="5400"/>
      <c r="AL40" s="5403"/>
      <c r="AM40" s="5235"/>
      <c r="AS40" s="1557">
        <v>34</v>
      </c>
    </row>
    <row r="41" spans="1:45" ht="35.65" customHeight="1">
      <c r="A41" s="1192"/>
      <c r="B41" s="1192" t="s">
        <v>137</v>
      </c>
      <c r="C41" s="1192" t="s">
        <v>138</v>
      </c>
      <c r="D41" s="1192" t="s">
        <v>139</v>
      </c>
      <c r="E41" s="1236" t="s">
        <v>461</v>
      </c>
      <c r="F41" s="1236" t="s">
        <v>462</v>
      </c>
      <c r="G41" s="1236" t="s">
        <v>463</v>
      </c>
      <c r="H41" s="1236" t="s">
        <v>464</v>
      </c>
      <c r="I41" s="1236" t="s">
        <v>465</v>
      </c>
      <c r="J41" s="1236" t="s">
        <v>466</v>
      </c>
      <c r="K41" s="1236" t="s">
        <v>467</v>
      </c>
      <c r="L41" s="1236" t="s">
        <v>442</v>
      </c>
      <c r="Q41" s="312"/>
      <c r="R41" s="312"/>
      <c r="S41" s="5395"/>
      <c r="T41" s="5339"/>
      <c r="U41" s="239"/>
      <c r="V41" s="5364"/>
      <c r="W41" s="5391"/>
      <c r="X41" s="1859" t="s">
        <v>468</v>
      </c>
      <c r="Y41" s="1859" t="s">
        <v>469</v>
      </c>
      <c r="Z41" s="1859" t="s">
        <v>470</v>
      </c>
      <c r="AA41" s="5344" t="s">
        <v>471</v>
      </c>
      <c r="AB41" s="5358"/>
      <c r="AC41" s="5401"/>
      <c r="AD41" s="5364"/>
      <c r="AE41" s="5391"/>
      <c r="AF41" s="1859" t="s">
        <v>468</v>
      </c>
      <c r="AG41" s="1859" t="s">
        <v>469</v>
      </c>
      <c r="AH41" s="1859" t="s">
        <v>470</v>
      </c>
      <c r="AI41" s="5344" t="s">
        <v>471</v>
      </c>
      <c r="AJ41" s="5358"/>
      <c r="AK41" s="5401"/>
      <c r="AL41" s="5404"/>
      <c r="AM41" s="5235"/>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111</v>
      </c>
      <c r="T42" s="1181" t="s">
        <v>112</v>
      </c>
      <c r="U42" s="1171" t="str">
        <f ca="1">OFFSET(U42,0,-1)</f>
        <v>2</v>
      </c>
      <c r="V42" s="1877">
        <f ca="1">OFFSET(V42,0,-1)+1</f>
        <v>3</v>
      </c>
      <c r="W42" s="1877"/>
      <c r="X42" s="1877">
        <f ca="1">OFFSET(X42,0,-1)+1</f>
        <v>1</v>
      </c>
      <c r="Y42" s="1877">
        <f ca="1">OFFSET(Y42,0,-1)+1</f>
        <v>2</v>
      </c>
      <c r="Z42" s="1877">
        <f ca="1">OFFSET(Z42,0,-1)+1</f>
        <v>3</v>
      </c>
      <c r="AA42" s="5392">
        <f ca="1">OFFSET(AA42,0,-1)+1</f>
        <v>4</v>
      </c>
      <c r="AB42" s="5392"/>
      <c r="AC42" s="1877">
        <f ca="1">OFFSET(AC42,0,-2)+1</f>
        <v>5</v>
      </c>
      <c r="AD42" s="1877">
        <f ca="1">OFFSET(AD42,0,-1)+1</f>
        <v>6</v>
      </c>
      <c r="AE42" s="1877"/>
      <c r="AF42" s="1877">
        <f ca="1">OFFSET(AF42,0,-1)+1</f>
        <v>1</v>
      </c>
      <c r="AG42" s="1877">
        <f ca="1">OFFSET(AG42,0,-1)+1</f>
        <v>2</v>
      </c>
      <c r="AH42" s="1877">
        <f ca="1">OFFSET(AH42,0,-1)+1</f>
        <v>3</v>
      </c>
      <c r="AI42" s="5392">
        <f ca="1">OFFSET(AI42,0,-1)+1</f>
        <v>4</v>
      </c>
      <c r="AJ42" s="5392"/>
      <c r="AK42" s="1877">
        <f ca="1">OFFSET(AK42,0,-2)+1</f>
        <v>5</v>
      </c>
      <c r="AL42" s="1171">
        <f ca="1">OFFSET(AL42,0,-1)</f>
        <v>5</v>
      </c>
      <c r="AM42" s="1877">
        <f ca="1">OFFSET(AM42,0,-1)+1</f>
        <v>6</v>
      </c>
      <c r="AN42" s="1562"/>
      <c r="AO42" s="1562"/>
      <c r="AP42" s="1562"/>
      <c r="AQ42" s="1562"/>
      <c r="AR42" s="1562"/>
      <c r="AS42" s="1567">
        <v>0</v>
      </c>
    </row>
    <row r="43" spans="1:45" ht="21.95" customHeight="1">
      <c r="A43" s="1193" t="s">
        <v>239</v>
      </c>
      <c r="B43" s="1193"/>
      <c r="C43" s="1193"/>
      <c r="D43" s="1193"/>
      <c r="E43" s="5415">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125</v>
      </c>
      <c r="U43" s="237"/>
      <c r="V43" s="5373"/>
      <c r="W43" s="5374"/>
      <c r="X43" s="5374"/>
      <c r="Y43" s="5374"/>
      <c r="Z43" s="5374"/>
      <c r="AA43" s="5374"/>
      <c r="AB43" s="5374"/>
      <c r="AC43" s="5375"/>
      <c r="AD43" s="5373" t="str">
        <f>INDEX(PT_DIFFERENTIATION_NTAR,MATCH(A43,PT_DIFFERENTIATION_NTAR_ID,0))</f>
        <v/>
      </c>
      <c r="AE43" s="5374"/>
      <c r="AF43" s="5374"/>
      <c r="AG43" s="5374"/>
      <c r="AH43" s="5374"/>
      <c r="AI43" s="5374"/>
      <c r="AJ43" s="5374"/>
      <c r="AK43" s="5374"/>
      <c r="AL43" s="537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239</v>
      </c>
      <c r="B44" s="1193" t="s">
        <v>240</v>
      </c>
      <c r="C44" s="1193"/>
      <c r="D44" s="1193"/>
      <c r="E44" s="5416"/>
      <c r="F44" s="5415">
        <v>1</v>
      </c>
      <c r="G44" s="1193"/>
      <c r="H44" s="1193"/>
      <c r="I44" s="1193"/>
      <c r="J44" s="1193"/>
      <c r="K44" s="1193"/>
      <c r="L44" s="1236"/>
      <c r="M44" s="1536"/>
      <c r="N44" s="1536"/>
      <c r="O44" s="1536"/>
      <c r="P44" s="1861"/>
      <c r="Q44" s="288"/>
      <c r="R44" s="289"/>
      <c r="S44" s="1879" t="str">
        <f>INDEX(PT_DIFFERENTIATION_NUM_TER,MATCH(B44,PT_DIFFERENTIATION_TER_ID,0))</f>
        <v>.</v>
      </c>
      <c r="T44" s="1448" t="s">
        <v>424</v>
      </c>
      <c r="U44" s="237"/>
      <c r="V44" s="5373"/>
      <c r="W44" s="5374"/>
      <c r="X44" s="5374"/>
      <c r="Y44" s="5374"/>
      <c r="Z44" s="5374"/>
      <c r="AA44" s="5374"/>
      <c r="AB44" s="5374"/>
      <c r="AC44" s="5375"/>
      <c r="AD44" s="5373" t="str">
        <f>INDEX(PT_DIFFERENTIATION_TER,MATCH(B44,PT_DIFFERENTIATION_TER_ID,0))</f>
        <v/>
      </c>
      <c r="AE44" s="5374"/>
      <c r="AF44" s="5374"/>
      <c r="AG44" s="5374"/>
      <c r="AH44" s="5374"/>
      <c r="AI44" s="5374"/>
      <c r="AJ44" s="5374"/>
      <c r="AK44" s="5374"/>
      <c r="AL44" s="5375"/>
      <c r="AM44" s="1184" t="s">
        <v>425</v>
      </c>
      <c r="AO44" s="1550"/>
      <c r="AP44" s="1550" t="str">
        <f t="shared" si="1"/>
        <v>Территория действия тарифа</v>
      </c>
      <c r="AQ44" s="1550"/>
      <c r="AR44" s="1550"/>
      <c r="AS44" s="1557">
        <v>21</v>
      </c>
    </row>
    <row r="45" spans="1:45" ht="24" customHeight="1">
      <c r="A45" s="1193" t="s">
        <v>239</v>
      </c>
      <c r="B45" s="1193" t="s">
        <v>240</v>
      </c>
      <c r="C45" s="1193" t="s">
        <v>241</v>
      </c>
      <c r="D45" s="1193"/>
      <c r="E45" s="5416"/>
      <c r="F45" s="5416"/>
      <c r="G45" s="5415">
        <v>1</v>
      </c>
      <c r="H45" s="1193"/>
      <c r="I45" s="1193"/>
      <c r="J45" s="1193"/>
      <c r="K45" s="1193"/>
      <c r="L45" s="1236"/>
      <c r="M45" s="1536"/>
      <c r="N45" s="1536"/>
      <c r="O45" s="1536"/>
      <c r="P45" s="290"/>
      <c r="Q45" s="288"/>
      <c r="R45" s="289"/>
      <c r="S45" s="1879" t="str">
        <f>INDEX(PT_DIFFERENTIATION_NUM_CS,MATCH(C45,PT_DIFFERENTIATION_CS_ID,0))</f>
        <v>..</v>
      </c>
      <c r="T45" s="246" t="s">
        <v>426</v>
      </c>
      <c r="U45" s="237"/>
      <c r="V45" s="5373"/>
      <c r="W45" s="5374"/>
      <c r="X45" s="5374"/>
      <c r="Y45" s="5374"/>
      <c r="Z45" s="5374"/>
      <c r="AA45" s="5374"/>
      <c r="AB45" s="5374"/>
      <c r="AC45" s="5375"/>
      <c r="AD45" s="5373" t="str">
        <f>INDEX(PT_DIFFERENTIATION_CS,MATCH(C45,PT_DIFFERENTIATION_CS_ID,0))</f>
        <v/>
      </c>
      <c r="AE45" s="5374"/>
      <c r="AF45" s="5374"/>
      <c r="AG45" s="5374"/>
      <c r="AH45" s="5374"/>
      <c r="AI45" s="5374"/>
      <c r="AJ45" s="5374"/>
      <c r="AK45" s="5374"/>
      <c r="AL45" s="5375"/>
      <c r="AM45" s="1184" t="s">
        <v>427</v>
      </c>
      <c r="AO45" s="1550"/>
      <c r="AP45" s="1550" t="str">
        <f t="shared" si="1"/>
        <v xml:space="preserve">Наименование системы теплоснабжения </v>
      </c>
      <c r="AQ45" s="1550"/>
      <c r="AR45" s="1550"/>
      <c r="AS45" s="1557">
        <v>23</v>
      </c>
    </row>
    <row r="46" spans="1:45" ht="21.95" customHeight="1">
      <c r="A46" s="1193" t="s">
        <v>239</v>
      </c>
      <c r="B46" s="1193" t="s">
        <v>240</v>
      </c>
      <c r="C46" s="1193" t="s">
        <v>241</v>
      </c>
      <c r="D46" s="1193" t="s">
        <v>242</v>
      </c>
      <c r="E46" s="5416"/>
      <c r="F46" s="5416"/>
      <c r="G46" s="5416"/>
      <c r="H46" s="5415">
        <v>1</v>
      </c>
      <c r="I46" s="1193"/>
      <c r="J46" s="1193"/>
      <c r="K46" s="1193"/>
      <c r="L46" s="1236"/>
      <c r="M46" s="1536"/>
      <c r="N46" s="1536"/>
      <c r="O46" s="1536"/>
      <c r="P46" s="290"/>
      <c r="Q46" s="288"/>
      <c r="R46" s="289"/>
      <c r="S46" s="1879" t="str">
        <f>INDEX(PT_DIFFERENTIATION_NUM_IST_TE,MATCH(D46,PT_DIFFERENTIATION_IST_TE_ID,0))</f>
        <v>...</v>
      </c>
      <c r="T46" s="247" t="s">
        <v>428</v>
      </c>
      <c r="U46" s="237"/>
      <c r="V46" s="5373"/>
      <c r="W46" s="5374"/>
      <c r="X46" s="5374"/>
      <c r="Y46" s="5374"/>
      <c r="Z46" s="5374"/>
      <c r="AA46" s="5374"/>
      <c r="AB46" s="5374"/>
      <c r="AC46" s="5375"/>
      <c r="AD46" s="5373" t="str">
        <f>INDEX(PT_DIFFERENTIATION_IST_TE,MATCH(D46,PT_DIFFERENTIATION_IST_TE_ID,0))</f>
        <v/>
      </c>
      <c r="AE46" s="5374"/>
      <c r="AF46" s="5374"/>
      <c r="AG46" s="5374"/>
      <c r="AH46" s="5374"/>
      <c r="AI46" s="5374"/>
      <c r="AJ46" s="5374"/>
      <c r="AK46" s="5374"/>
      <c r="AL46" s="5375"/>
      <c r="AM46" s="1184" t="s">
        <v>429</v>
      </c>
      <c r="AO46" s="1550"/>
      <c r="AP46" s="1550" t="str">
        <f t="shared" si="1"/>
        <v xml:space="preserve">Источник тепловой энергии  </v>
      </c>
      <c r="AQ46" s="1550"/>
      <c r="AR46" s="1550"/>
      <c r="AS46" s="1557">
        <v>21</v>
      </c>
    </row>
    <row r="47" spans="1:45" ht="49.5" customHeight="1">
      <c r="A47" s="1193" t="s">
        <v>239</v>
      </c>
      <c r="B47" s="1193" t="s">
        <v>240</v>
      </c>
      <c r="C47" s="1193" t="s">
        <v>241</v>
      </c>
      <c r="D47" s="1193" t="s">
        <v>242</v>
      </c>
      <c r="E47" s="5416"/>
      <c r="F47" s="5416"/>
      <c r="G47" s="5416"/>
      <c r="H47" s="5416"/>
      <c r="I47" s="5235" t="str">
        <f>S46&amp;".1"</f>
        <v>....1</v>
      </c>
      <c r="J47" s="1193"/>
      <c r="K47" s="1193"/>
      <c r="L47" s="1236" t="s">
        <v>430</v>
      </c>
      <c r="P47" s="5385">
        <v>1</v>
      </c>
      <c r="Q47" s="1875"/>
      <c r="R47" s="292"/>
      <c r="S47" s="1879" t="str">
        <f>$I47</f>
        <v>....1</v>
      </c>
      <c r="T47" s="222" t="s">
        <v>431</v>
      </c>
      <c r="U47" s="237"/>
      <c r="V47" s="5366"/>
      <c r="W47" s="5367"/>
      <c r="X47" s="5367"/>
      <c r="Y47" s="5367"/>
      <c r="Z47" s="5367"/>
      <c r="AA47" s="5367"/>
      <c r="AB47" s="5367"/>
      <c r="AC47" s="5368"/>
      <c r="AD47" s="5366"/>
      <c r="AE47" s="5367"/>
      <c r="AF47" s="5367"/>
      <c r="AG47" s="5367"/>
      <c r="AH47" s="5367"/>
      <c r="AI47" s="5367"/>
      <c r="AJ47" s="5367"/>
      <c r="AK47" s="5367"/>
      <c r="AL47" s="5368"/>
      <c r="AM47" s="1184" t="s">
        <v>432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239</v>
      </c>
      <c r="B48" s="1193" t="s">
        <v>240</v>
      </c>
      <c r="C48" s="1193" t="s">
        <v>241</v>
      </c>
      <c r="D48" s="1193" t="s">
        <v>242</v>
      </c>
      <c r="E48" s="5416"/>
      <c r="F48" s="5416"/>
      <c r="G48" s="5416"/>
      <c r="H48" s="5416"/>
      <c r="I48" s="5217"/>
      <c r="J48" s="5235" t="str">
        <f>I47&amp;".1"</f>
        <v>....1.1</v>
      </c>
      <c r="K48" s="1193"/>
      <c r="L48" s="1236" t="s">
        <v>433</v>
      </c>
      <c r="P48" s="5385"/>
      <c r="Q48" s="5385">
        <v>1</v>
      </c>
      <c r="R48" s="293"/>
      <c r="S48" s="1879" t="str">
        <f>$J48</f>
        <v>....1.1</v>
      </c>
      <c r="T48" s="223" t="s">
        <v>434</v>
      </c>
      <c r="U48" s="237"/>
      <c r="V48" s="5366"/>
      <c r="W48" s="5367"/>
      <c r="X48" s="5367"/>
      <c r="Y48" s="5367"/>
      <c r="Z48" s="5367"/>
      <c r="AA48" s="5367"/>
      <c r="AB48" s="5367"/>
      <c r="AC48" s="5368"/>
      <c r="AD48" s="5366"/>
      <c r="AE48" s="5367"/>
      <c r="AF48" s="5367"/>
      <c r="AG48" s="5367"/>
      <c r="AH48" s="5367"/>
      <c r="AI48" s="5367"/>
      <c r="AJ48" s="5367"/>
      <c r="AK48" s="5367"/>
      <c r="AL48" s="5368"/>
      <c r="AM48" s="1184" t="s">
        <v>435</v>
      </c>
      <c r="AO48" s="1550"/>
      <c r="AP48" s="1550" t="str">
        <f t="shared" si="1"/>
        <v>Группа потребителей</v>
      </c>
      <c r="AQ48" s="1550"/>
      <c r="AR48" s="1550"/>
      <c r="AS48" s="1557">
        <v>21</v>
      </c>
    </row>
    <row r="49" spans="1:45" ht="21.95" customHeight="1">
      <c r="A49" s="1193" t="s">
        <v>239</v>
      </c>
      <c r="B49" s="1193" t="s">
        <v>240</v>
      </c>
      <c r="C49" s="1193" t="s">
        <v>241</v>
      </c>
      <c r="D49" s="1193" t="s">
        <v>242</v>
      </c>
      <c r="E49" s="5416"/>
      <c r="F49" s="5416"/>
      <c r="G49" s="5416"/>
      <c r="H49" s="5416"/>
      <c r="I49" s="5217"/>
      <c r="J49" s="5217"/>
      <c r="K49" s="5235" t="str">
        <f>J48&amp;".1"</f>
        <v>....1.1.1</v>
      </c>
      <c r="L49" s="1236" t="s">
        <v>436</v>
      </c>
      <c r="P49" s="5385"/>
      <c r="Q49" s="5385"/>
      <c r="R49" s="293">
        <v>1</v>
      </c>
      <c r="S49" s="1879" t="str">
        <f>$K49</f>
        <v>....1.1.1</v>
      </c>
      <c r="T49" s="1273"/>
      <c r="U49" s="237"/>
      <c r="V49" s="687"/>
      <c r="W49" s="262"/>
      <c r="X49" s="687"/>
      <c r="Y49" s="1183"/>
      <c r="Z49" s="5386"/>
      <c r="AA49" s="5245" t="s">
        <v>65</v>
      </c>
      <c r="AB49" s="5386"/>
      <c r="AC49" s="5245" t="s">
        <v>65</v>
      </c>
      <c r="AD49" s="687"/>
      <c r="AE49" s="262"/>
      <c r="AF49" s="687"/>
      <c r="AG49" s="1183"/>
      <c r="AH49" s="5386"/>
      <c r="AI49" s="5245" t="s">
        <v>65</v>
      </c>
      <c r="AJ49" s="5388"/>
      <c r="AK49" s="5245" t="s">
        <v>65</v>
      </c>
      <c r="AL49" s="1274"/>
      <c r="AM49" s="5405" t="s">
        <v>437</v>
      </c>
      <c r="AN49" s="1562" t="e">
        <f ca="1">STRCHECKDATE(V50:AL50)</f>
        <v>#NAME?</v>
      </c>
      <c r="AO49" s="1550"/>
      <c r="AP49" s="1550" t="str">
        <f t="shared" si="1"/>
        <v/>
      </c>
      <c r="AQ49" s="1550"/>
      <c r="AR49" s="1550"/>
      <c r="AS49" s="1557">
        <v>21</v>
      </c>
    </row>
    <row r="50" spans="1:45" ht="1.1499999999999999" customHeight="1">
      <c r="A50" s="1193" t="s">
        <v>239</v>
      </c>
      <c r="B50" s="1193" t="s">
        <v>240</v>
      </c>
      <c r="C50" s="1193" t="s">
        <v>241</v>
      </c>
      <c r="D50" s="1193" t="s">
        <v>242</v>
      </c>
      <c r="E50" s="5416"/>
      <c r="F50" s="5416"/>
      <c r="G50" s="5416"/>
      <c r="H50" s="5416"/>
      <c r="I50" s="5217"/>
      <c r="J50" s="5217"/>
      <c r="K50" s="5235"/>
      <c r="L50" s="1236"/>
      <c r="P50" s="5385"/>
      <c r="Q50" s="5385"/>
      <c r="R50" s="293"/>
      <c r="S50" s="1888"/>
      <c r="T50" s="237"/>
      <c r="U50" s="237"/>
      <c r="V50" s="262"/>
      <c r="W50" s="262"/>
      <c r="X50" s="262"/>
      <c r="Y50" s="265" t="str">
        <f>Z49&amp;"-"&amp;AB49</f>
        <v>-</v>
      </c>
      <c r="Z50" s="5387"/>
      <c r="AA50" s="5245"/>
      <c r="AB50" s="5387"/>
      <c r="AC50" s="5245"/>
      <c r="AD50" s="262"/>
      <c r="AE50" s="262"/>
      <c r="AF50" s="262"/>
      <c r="AG50" s="265" t="str">
        <f>AH49&amp;"-"&amp;AJ49</f>
        <v>-</v>
      </c>
      <c r="AH50" s="5387"/>
      <c r="AI50" s="5245"/>
      <c r="AJ50" s="5389"/>
      <c r="AK50" s="5245"/>
      <c r="AL50" s="1275"/>
      <c r="AM50" s="5406"/>
      <c r="AO50" s="1550"/>
      <c r="AP50" s="1550" t="str">
        <f t="shared" si="1"/>
        <v/>
      </c>
      <c r="AQ50" s="1550"/>
      <c r="AR50" s="1550"/>
      <c r="AS50" s="1557">
        <v>1</v>
      </c>
    </row>
    <row r="51" spans="1:45" ht="11.45" customHeight="1">
      <c r="A51" s="1193" t="s">
        <v>239</v>
      </c>
      <c r="B51" s="1193" t="s">
        <v>240</v>
      </c>
      <c r="C51" s="1193" t="s">
        <v>241</v>
      </c>
      <c r="D51" s="1193" t="s">
        <v>242</v>
      </c>
      <c r="E51" s="5416"/>
      <c r="F51" s="5416"/>
      <c r="G51" s="5416"/>
      <c r="H51" s="5416"/>
      <c r="I51" s="5217"/>
      <c r="J51" s="5235"/>
      <c r="K51" s="1193"/>
      <c r="L51" s="1236"/>
      <c r="P51" s="5385"/>
      <c r="Q51" s="5385"/>
      <c r="R51" s="292"/>
      <c r="S51" s="1204"/>
      <c r="T51" s="225" t="s">
        <v>438</v>
      </c>
      <c r="U51" s="536"/>
      <c r="V51" s="536"/>
      <c r="W51" s="536"/>
      <c r="X51" s="536"/>
      <c r="Y51" s="536"/>
      <c r="Z51" s="536"/>
      <c r="AA51" s="536"/>
      <c r="AB51" s="536"/>
      <c r="AC51" s="536"/>
      <c r="AD51" s="536"/>
      <c r="AE51" s="536"/>
      <c r="AF51" s="536"/>
      <c r="AG51" s="536"/>
      <c r="AH51" s="536"/>
      <c r="AI51" s="536"/>
      <c r="AJ51" s="536"/>
      <c r="AK51" s="536"/>
      <c r="AL51" s="261"/>
      <c r="AM51" s="5407"/>
      <c r="AO51" s="1550"/>
      <c r="AP51" s="1550" t="str">
        <f t="shared" si="1"/>
        <v>Добавить вид теплоносителя (параметры теплоносителя)</v>
      </c>
      <c r="AQ51" s="1550"/>
      <c r="AR51" s="1550"/>
      <c r="AS51" s="1557">
        <v>11</v>
      </c>
    </row>
    <row r="52" spans="1:45" ht="11.45" customHeight="1">
      <c r="A52" s="1193" t="s">
        <v>239</v>
      </c>
      <c r="B52" s="1193" t="s">
        <v>240</v>
      </c>
      <c r="C52" s="1193" t="s">
        <v>241</v>
      </c>
      <c r="D52" s="1193" t="s">
        <v>242</v>
      </c>
      <c r="E52" s="5416"/>
      <c r="F52" s="5416"/>
      <c r="G52" s="5416"/>
      <c r="H52" s="5416"/>
      <c r="I52" s="5235"/>
      <c r="J52" s="1193"/>
      <c r="K52" s="1193"/>
      <c r="L52" s="1236"/>
      <c r="P52" s="5385"/>
      <c r="Q52" s="1875"/>
      <c r="R52" s="292"/>
      <c r="S52" s="1204"/>
      <c r="T52" s="224" t="s">
        <v>439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239</v>
      </c>
      <c r="B53" s="1193" t="s">
        <v>240</v>
      </c>
      <c r="C53" s="1193" t="s">
        <v>241</v>
      </c>
      <c r="D53" s="1193" t="s">
        <v>242</v>
      </c>
      <c r="E53" s="5416"/>
      <c r="F53" s="5416"/>
      <c r="G53" s="5416"/>
      <c r="H53" s="5415"/>
      <c r="I53" s="1193"/>
      <c r="J53" s="1193"/>
      <c r="K53" s="1193"/>
      <c r="L53" s="1236"/>
      <c r="M53" s="1536"/>
      <c r="N53" s="1536"/>
      <c r="O53" s="1561"/>
      <c r="P53" s="296"/>
      <c r="Q53" s="311"/>
      <c r="R53" s="291"/>
      <c r="S53" s="1204"/>
      <c r="T53" s="301" t="s">
        <v>440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239</v>
      </c>
      <c r="B54" s="1193" t="s">
        <v>240</v>
      </c>
      <c r="C54" s="1193" t="s">
        <v>241</v>
      </c>
      <c r="D54" s="1895"/>
      <c r="E54" s="5416"/>
      <c r="F54" s="5416"/>
      <c r="G54" s="5415"/>
      <c r="H54" s="1895"/>
      <c r="I54" s="1895"/>
      <c r="J54" s="1895"/>
      <c r="K54" s="1895"/>
      <c r="L54" s="1306"/>
      <c r="M54" s="1536"/>
      <c r="N54" s="1536"/>
      <c r="O54" s="1561"/>
      <c r="P54" s="1242"/>
      <c r="Q54" s="1243"/>
      <c r="R54" s="1242"/>
      <c r="S54" s="1248"/>
      <c r="T54" s="1251" t="s">
        <v>163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239</v>
      </c>
      <c r="B55" s="1193" t="s">
        <v>240</v>
      </c>
      <c r="C55" s="1895"/>
      <c r="D55" s="1895"/>
      <c r="E55" s="5416"/>
      <c r="F55" s="5415"/>
      <c r="G55" s="1895"/>
      <c r="H55" s="1895"/>
      <c r="I55" s="1895"/>
      <c r="J55" s="1895"/>
      <c r="K55" s="1895"/>
      <c r="L55" s="1306"/>
      <c r="M55" s="1896"/>
      <c r="N55" s="1896"/>
      <c r="O55" s="1561"/>
      <c r="P55" s="1242"/>
      <c r="Q55" s="1243"/>
      <c r="R55" s="1242"/>
      <c r="S55" s="1248"/>
      <c r="T55" s="1251" t="s">
        <v>164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239</v>
      </c>
      <c r="B56" s="1193"/>
      <c r="C56" s="1193"/>
      <c r="D56" s="1193"/>
      <c r="E56" s="5415"/>
      <c r="F56" s="1193"/>
      <c r="G56" s="1193"/>
      <c r="H56" s="1193"/>
      <c r="I56" s="1193"/>
      <c r="J56" s="1193"/>
      <c r="K56" s="1193"/>
      <c r="L56" s="1236"/>
      <c r="M56" s="1896"/>
      <c r="N56" s="1896"/>
      <c r="O56" s="1561"/>
      <c r="P56" s="316"/>
      <c r="Q56" s="1270"/>
      <c r="R56" s="316"/>
      <c r="S56" s="1248"/>
      <c r="T56" s="1251" t="s">
        <v>165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182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5379"/>
      <c r="U59" s="5379"/>
      <c r="V59" s="5379"/>
      <c r="W59" s="5379"/>
      <c r="X59" s="5379"/>
      <c r="Y59" s="5379"/>
      <c r="Z59" s="5379"/>
      <c r="AA59" s="5379"/>
      <c r="AB59" s="5379"/>
      <c r="AC59" s="5379"/>
      <c r="AD59" s="5379"/>
      <c r="AE59" s="5379"/>
      <c r="AF59" s="5379"/>
      <c r="AG59" s="5379"/>
      <c r="AH59" s="5379"/>
      <c r="AI59" s="5379"/>
      <c r="AJ59" s="5379"/>
      <c r="AK59" s="5379"/>
      <c r="AL59" s="5379"/>
      <c r="AM59" s="5379"/>
      <c r="AS59" s="1557">
        <v>27</v>
      </c>
    </row>
    <row r="60" spans="1:45" ht="65.25" customHeight="1">
      <c r="O60" s="1561"/>
      <c r="T60" s="5379"/>
      <c r="U60" s="5379"/>
      <c r="V60" s="5379"/>
      <c r="W60" s="5379"/>
      <c r="X60" s="5379"/>
      <c r="Y60" s="5379"/>
      <c r="Z60" s="5379"/>
      <c r="AA60" s="5379"/>
      <c r="AB60" s="5379"/>
      <c r="AC60" s="5379"/>
      <c r="AD60" s="5379"/>
      <c r="AE60" s="5379"/>
      <c r="AF60" s="5379"/>
      <c r="AG60" s="5379"/>
      <c r="AH60" s="5379"/>
      <c r="AI60" s="5379"/>
      <c r="AJ60" s="5379"/>
      <c r="AK60" s="5379"/>
      <c r="AL60" s="5379"/>
      <c r="AM60" s="5379"/>
      <c r="AS60" s="1557">
        <v>62</v>
      </c>
    </row>
    <row r="61" spans="1:45" ht="14.65" customHeight="1">
      <c r="O61" s="1561"/>
      <c r="AS61" s="1557">
        <v>14</v>
      </c>
    </row>
    <row r="62" spans="1:45" ht="18.75" customHeight="1">
      <c r="O62" s="1561"/>
      <c r="S62" s="1179"/>
      <c r="T62" s="5379"/>
      <c r="U62" s="5379"/>
      <c r="V62" s="5379"/>
      <c r="W62" s="5379"/>
      <c r="X62" s="5379"/>
      <c r="Y62" s="5379"/>
      <c r="Z62" s="5379"/>
      <c r="AA62" s="5379"/>
      <c r="AB62" s="5379"/>
      <c r="AC62" s="5379"/>
      <c r="AD62" s="5379"/>
      <c r="AE62" s="5379"/>
      <c r="AF62" s="5379"/>
      <c r="AG62" s="5379"/>
      <c r="AH62" s="5379"/>
      <c r="AI62" s="5379"/>
      <c r="AJ62" s="5379"/>
      <c r="AK62" s="5379"/>
      <c r="AL62" s="5379"/>
      <c r="AM62" s="5379"/>
      <c r="AS62" s="1557">
        <v>18</v>
      </c>
    </row>
    <row r="63" spans="1:45" ht="18.75" customHeight="1">
      <c r="O63" s="1561"/>
      <c r="T63" s="5379"/>
      <c r="U63" s="5379"/>
      <c r="V63" s="5379"/>
      <c r="W63" s="5379"/>
      <c r="X63" s="5379"/>
      <c r="Y63" s="5379"/>
      <c r="Z63" s="5379"/>
      <c r="AA63" s="5379"/>
      <c r="AB63" s="5379"/>
      <c r="AC63" s="5379"/>
      <c r="AD63" s="5379"/>
      <c r="AE63" s="5379"/>
      <c r="AF63" s="5379"/>
      <c r="AG63" s="5379"/>
      <c r="AH63" s="5379"/>
      <c r="AI63" s="5379"/>
      <c r="AJ63" s="5379"/>
      <c r="AK63" s="5379"/>
      <c r="AL63" s="5379"/>
      <c r="AM63" s="5379"/>
      <c r="AS63" s="1557">
        <v>18</v>
      </c>
    </row>
    <row r="64" spans="1:45" ht="29.25" customHeight="1">
      <c r="O64" s="1561"/>
      <c r="S64" s="1179"/>
      <c r="T64" s="5379"/>
      <c r="U64" s="5379"/>
      <c r="V64" s="5379"/>
      <c r="W64" s="5379"/>
      <c r="X64" s="5379"/>
      <c r="Y64" s="5379"/>
      <c r="Z64" s="5379"/>
      <c r="AA64" s="5379"/>
      <c r="AB64" s="5379"/>
      <c r="AC64" s="5379"/>
      <c r="AD64" s="5379"/>
      <c r="AE64" s="5379"/>
      <c r="AF64" s="5379"/>
      <c r="AG64" s="5379"/>
      <c r="AH64" s="5379"/>
      <c r="AI64" s="5379"/>
      <c r="AJ64" s="5379"/>
      <c r="AK64" s="5379"/>
      <c r="AL64" s="5379"/>
      <c r="AM64" s="5379"/>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M65"/>
  <sheetViews>
    <sheetView showGridLines="0" zoomScale="90" workbookViewId="0">
      <pane xSplit="29" ySplit="42" topLeftCell="CN43" activePane="bottomRight" state="frozen"/>
      <selection pane="topRight" activeCell="AD1" sqref="AD1"/>
      <selection pane="bottomLeft" activeCell="A43" sqref="A43"/>
      <selection pane="bottomRight" activeCell="T60" sqref="T60:DG60"/>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customWidth="1"/>
    <col min="109" max="109" width="10.5703125" style="4" hidden="1"/>
    <col min="110" max="110" width="4" style="1561" customWidth="1"/>
    <col min="111" max="111" width="115" style="1561" customWidth="1"/>
    <col min="112" max="116" width="10" style="1568" customWidth="1"/>
    <col min="117" max="117" width="10.5703125" style="1561" hidden="1"/>
  </cols>
  <sheetData>
    <row r="1" spans="1:117" ht="22.5" hidden="1" customHeight="1">
      <c r="Y1" s="264"/>
      <c r="Z1" s="264"/>
      <c r="AG1" s="264"/>
      <c r="AH1" s="264"/>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BZ1" s="1561"/>
      <c r="CA1" s="1561"/>
      <c r="CB1" s="1561"/>
      <c r="CC1" s="1561"/>
      <c r="CD1" s="1561"/>
      <c r="CE1" s="1561"/>
      <c r="CF1" s="1561"/>
      <c r="CG1" s="1561"/>
      <c r="CH1" s="1561"/>
      <c r="CI1" s="1561"/>
      <c r="CJ1" s="1561"/>
      <c r="CK1" s="1561"/>
      <c r="CL1" s="1561"/>
      <c r="CM1" s="1561"/>
      <c r="CN1" s="1561"/>
      <c r="CO1" s="1561"/>
      <c r="CP1" s="1561"/>
      <c r="CQ1" s="1561"/>
      <c r="CR1" s="1561"/>
      <c r="CS1" s="1561"/>
      <c r="CT1" s="1561"/>
      <c r="CU1" s="1561"/>
      <c r="CV1" s="1561"/>
      <c r="CW1" s="1561"/>
      <c r="CX1" s="1561"/>
      <c r="CY1" s="1561"/>
      <c r="CZ1" s="1561"/>
      <c r="DA1" s="1561"/>
      <c r="DB1" s="1561"/>
      <c r="DC1" s="1561"/>
      <c r="DD1" s="1561"/>
      <c r="DE1" s="5155"/>
      <c r="DM1" s="1081" t="s">
        <v>14</v>
      </c>
    </row>
    <row r="2" spans="1:117" ht="21" hidden="1" customHeight="1">
      <c r="A2" s="1289"/>
      <c r="B2" s="1289"/>
      <c r="C2" s="1289"/>
      <c r="D2" s="1289"/>
      <c r="E2" s="5381">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5373"/>
      <c r="W2" s="5374"/>
      <c r="X2" s="5374"/>
      <c r="Y2" s="5374"/>
      <c r="Z2" s="5374"/>
      <c r="AA2" s="5374"/>
      <c r="AB2" s="5374"/>
      <c r="AC2" s="5375"/>
      <c r="AD2" s="5373" t="e">
        <f>INDEX(PT_DIFFERENTIATION_NTAR,MATCH(A2,PT_DIFFERENTIATION_NTAR_ID,0))</f>
        <v>#N/A</v>
      </c>
      <c r="AE2" s="5374"/>
      <c r="AF2" s="5374"/>
      <c r="AG2" s="5374"/>
      <c r="AH2" s="5374"/>
      <c r="AI2" s="5374"/>
      <c r="AJ2" s="5374"/>
      <c r="AK2" s="5374"/>
      <c r="AL2" s="5373"/>
      <c r="AM2" s="5374"/>
      <c r="AN2" s="5374"/>
      <c r="AO2" s="5374"/>
      <c r="AP2" s="5374"/>
      <c r="AQ2" s="5374"/>
      <c r="AR2" s="5374"/>
      <c r="AS2" s="5375"/>
      <c r="AT2" s="5373"/>
      <c r="AU2" s="5374"/>
      <c r="AV2" s="5374"/>
      <c r="AW2" s="5374"/>
      <c r="AX2" s="5374"/>
      <c r="AY2" s="5374"/>
      <c r="AZ2" s="5374"/>
      <c r="BA2" s="5375"/>
      <c r="BB2" s="5373"/>
      <c r="BC2" s="5374"/>
      <c r="BD2" s="5374"/>
      <c r="BE2" s="5374"/>
      <c r="BF2" s="5374"/>
      <c r="BG2" s="5374"/>
      <c r="BH2" s="5374"/>
      <c r="BI2" s="5375"/>
      <c r="BJ2" s="5373"/>
      <c r="BK2" s="5374"/>
      <c r="BL2" s="5374"/>
      <c r="BM2" s="5374"/>
      <c r="BN2" s="5374"/>
      <c r="BO2" s="5374"/>
      <c r="BP2" s="5374"/>
      <c r="BQ2" s="5375"/>
      <c r="BR2" s="5373"/>
      <c r="BS2" s="5374"/>
      <c r="BT2" s="5374"/>
      <c r="BU2" s="5374"/>
      <c r="BV2" s="5374"/>
      <c r="BW2" s="5374"/>
      <c r="BX2" s="5374"/>
      <c r="BY2" s="5375"/>
      <c r="BZ2" s="5373"/>
      <c r="CA2" s="5374"/>
      <c r="CB2" s="5374"/>
      <c r="CC2" s="5374"/>
      <c r="CD2" s="5374"/>
      <c r="CE2" s="5374"/>
      <c r="CF2" s="5374"/>
      <c r="CG2" s="5375"/>
      <c r="CH2" s="5373"/>
      <c r="CI2" s="5374"/>
      <c r="CJ2" s="5374"/>
      <c r="CK2" s="5374"/>
      <c r="CL2" s="5374"/>
      <c r="CM2" s="5374"/>
      <c r="CN2" s="5374"/>
      <c r="CO2" s="5375"/>
      <c r="CP2" s="5373"/>
      <c r="CQ2" s="5374"/>
      <c r="CR2" s="5374"/>
      <c r="CS2" s="5374"/>
      <c r="CT2" s="5374"/>
      <c r="CU2" s="5374"/>
      <c r="CV2" s="5374"/>
      <c r="CW2" s="5375"/>
      <c r="CX2" s="5373"/>
      <c r="CY2" s="5374"/>
      <c r="CZ2" s="5374"/>
      <c r="DA2" s="5374"/>
      <c r="DB2" s="5374"/>
      <c r="DC2" s="5374"/>
      <c r="DD2" s="5374"/>
      <c r="DE2" s="5376"/>
      <c r="DF2" s="5375"/>
      <c r="DG2" s="1184" t="s">
        <v>423</v>
      </c>
      <c r="DI2" s="436"/>
      <c r="DJ2" s="436" t="str">
        <f t="shared" ref="DJ2:DJ15" si="0">IF(T2="","",T2)</f>
        <v>Наименование тарифа</v>
      </c>
      <c r="DK2" s="436"/>
      <c r="DL2" s="436"/>
      <c r="DM2" s="1081">
        <v>0</v>
      </c>
    </row>
    <row r="3" spans="1:117" ht="21" hidden="1" customHeight="1">
      <c r="A3" s="1289"/>
      <c r="B3" s="1289"/>
      <c r="C3" s="1289"/>
      <c r="D3" s="1289"/>
      <c r="E3" s="5382"/>
      <c r="F3" s="5381">
        <v>1</v>
      </c>
      <c r="G3" s="1289"/>
      <c r="H3" s="1289"/>
      <c r="I3" s="1289"/>
      <c r="J3" s="1289"/>
      <c r="K3" s="1289"/>
      <c r="L3" s="1290"/>
      <c r="M3" s="1291"/>
      <c r="N3" s="1291"/>
      <c r="O3" s="1291"/>
      <c r="P3" s="1258"/>
      <c r="Q3" s="288"/>
      <c r="R3" s="289"/>
      <c r="S3" s="1262" t="e">
        <f>INDEX(PT_DIFFERENTIATION_NUM_TER,MATCH(B3,PT_DIFFERENTIATION_TER_ID,0))</f>
        <v>#N/A</v>
      </c>
      <c r="T3" s="245" t="s">
        <v>424</v>
      </c>
      <c r="U3" s="237"/>
      <c r="V3" s="5373"/>
      <c r="W3" s="5374"/>
      <c r="X3" s="5374"/>
      <c r="Y3" s="5374"/>
      <c r="Z3" s="5374"/>
      <c r="AA3" s="5374"/>
      <c r="AB3" s="5374"/>
      <c r="AC3" s="5375"/>
      <c r="AD3" s="5373" t="e">
        <f>INDEX(PT_DIFFERENTIATION_TER,MATCH(B3,PT_DIFFERENTIATION_TER_ID,0))</f>
        <v>#N/A</v>
      </c>
      <c r="AE3" s="5374"/>
      <c r="AF3" s="5374"/>
      <c r="AG3" s="5374"/>
      <c r="AH3" s="5374"/>
      <c r="AI3" s="5374"/>
      <c r="AJ3" s="5374"/>
      <c r="AK3" s="5374"/>
      <c r="AL3" s="5373"/>
      <c r="AM3" s="5374"/>
      <c r="AN3" s="5374"/>
      <c r="AO3" s="5374"/>
      <c r="AP3" s="5374"/>
      <c r="AQ3" s="5374"/>
      <c r="AR3" s="5374"/>
      <c r="AS3" s="5375"/>
      <c r="AT3" s="5373"/>
      <c r="AU3" s="5374"/>
      <c r="AV3" s="5374"/>
      <c r="AW3" s="5374"/>
      <c r="AX3" s="5374"/>
      <c r="AY3" s="5374"/>
      <c r="AZ3" s="5374"/>
      <c r="BA3" s="5375"/>
      <c r="BB3" s="5373"/>
      <c r="BC3" s="5374"/>
      <c r="BD3" s="5374"/>
      <c r="BE3" s="5374"/>
      <c r="BF3" s="5374"/>
      <c r="BG3" s="5374"/>
      <c r="BH3" s="5374"/>
      <c r="BI3" s="5375"/>
      <c r="BJ3" s="5373"/>
      <c r="BK3" s="5374"/>
      <c r="BL3" s="5374"/>
      <c r="BM3" s="5374"/>
      <c r="BN3" s="5374"/>
      <c r="BO3" s="5374"/>
      <c r="BP3" s="5374"/>
      <c r="BQ3" s="5375"/>
      <c r="BR3" s="5373"/>
      <c r="BS3" s="5374"/>
      <c r="BT3" s="5374"/>
      <c r="BU3" s="5374"/>
      <c r="BV3" s="5374"/>
      <c r="BW3" s="5374"/>
      <c r="BX3" s="5374"/>
      <c r="BY3" s="5375"/>
      <c r="BZ3" s="5373"/>
      <c r="CA3" s="5374"/>
      <c r="CB3" s="5374"/>
      <c r="CC3" s="5374"/>
      <c r="CD3" s="5374"/>
      <c r="CE3" s="5374"/>
      <c r="CF3" s="5374"/>
      <c r="CG3" s="5375"/>
      <c r="CH3" s="5373"/>
      <c r="CI3" s="5374"/>
      <c r="CJ3" s="5374"/>
      <c r="CK3" s="5374"/>
      <c r="CL3" s="5374"/>
      <c r="CM3" s="5374"/>
      <c r="CN3" s="5374"/>
      <c r="CO3" s="5375"/>
      <c r="CP3" s="5373"/>
      <c r="CQ3" s="5374"/>
      <c r="CR3" s="5374"/>
      <c r="CS3" s="5374"/>
      <c r="CT3" s="5374"/>
      <c r="CU3" s="5374"/>
      <c r="CV3" s="5374"/>
      <c r="CW3" s="5375"/>
      <c r="CX3" s="5373"/>
      <c r="CY3" s="5374"/>
      <c r="CZ3" s="5374"/>
      <c r="DA3" s="5374"/>
      <c r="DB3" s="5374"/>
      <c r="DC3" s="5374"/>
      <c r="DD3" s="5374"/>
      <c r="DE3" s="5376"/>
      <c r="DF3" s="5375"/>
      <c r="DG3" s="1184" t="s">
        <v>425</v>
      </c>
      <c r="DI3" s="436"/>
      <c r="DJ3" s="436" t="str">
        <f t="shared" si="0"/>
        <v>Территория действия тарифа</v>
      </c>
      <c r="DK3" s="436"/>
      <c r="DL3" s="436"/>
      <c r="DM3" s="1081">
        <v>0</v>
      </c>
    </row>
    <row r="4" spans="1:117" ht="23.25" hidden="1" customHeight="1">
      <c r="A4" s="1289"/>
      <c r="B4" s="1289"/>
      <c r="C4" s="1289"/>
      <c r="D4" s="1289"/>
      <c r="E4" s="5382"/>
      <c r="F4" s="5382"/>
      <c r="G4" s="5381">
        <v>1</v>
      </c>
      <c r="H4" s="1289"/>
      <c r="I4" s="1289"/>
      <c r="J4" s="1289"/>
      <c r="K4" s="1289"/>
      <c r="L4" s="1290"/>
      <c r="M4" s="1291"/>
      <c r="N4" s="1291"/>
      <c r="O4" s="1291"/>
      <c r="P4" s="290"/>
      <c r="Q4" s="288"/>
      <c r="R4" s="289"/>
      <c r="S4" s="1262" t="e">
        <f>INDEX(PT_DIFFERENTIATION_NUM_CS,MATCH(C4,PT_DIFFERENTIATION_CS_ID,0))</f>
        <v>#N/A</v>
      </c>
      <c r="T4" s="246" t="s">
        <v>426</v>
      </c>
      <c r="U4" s="237"/>
      <c r="V4" s="5373"/>
      <c r="W4" s="5374"/>
      <c r="X4" s="5374"/>
      <c r="Y4" s="5374"/>
      <c r="Z4" s="5374"/>
      <c r="AA4" s="5374"/>
      <c r="AB4" s="5374"/>
      <c r="AC4" s="5375"/>
      <c r="AD4" s="5373" t="e">
        <f>INDEX(PT_DIFFERENTIATION_CS,MATCH(C4,PT_DIFFERENTIATION_CS_ID,0))</f>
        <v>#N/A</v>
      </c>
      <c r="AE4" s="5374"/>
      <c r="AF4" s="5374"/>
      <c r="AG4" s="5374"/>
      <c r="AH4" s="5374"/>
      <c r="AI4" s="5374"/>
      <c r="AJ4" s="5374"/>
      <c r="AK4" s="5374"/>
      <c r="AL4" s="5373"/>
      <c r="AM4" s="5374"/>
      <c r="AN4" s="5374"/>
      <c r="AO4" s="5374"/>
      <c r="AP4" s="5374"/>
      <c r="AQ4" s="5374"/>
      <c r="AR4" s="5374"/>
      <c r="AS4" s="5375"/>
      <c r="AT4" s="5373"/>
      <c r="AU4" s="5374"/>
      <c r="AV4" s="5374"/>
      <c r="AW4" s="5374"/>
      <c r="AX4" s="5374"/>
      <c r="AY4" s="5374"/>
      <c r="AZ4" s="5374"/>
      <c r="BA4" s="5375"/>
      <c r="BB4" s="5373"/>
      <c r="BC4" s="5374"/>
      <c r="BD4" s="5374"/>
      <c r="BE4" s="5374"/>
      <c r="BF4" s="5374"/>
      <c r="BG4" s="5374"/>
      <c r="BH4" s="5374"/>
      <c r="BI4" s="5375"/>
      <c r="BJ4" s="5373"/>
      <c r="BK4" s="5374"/>
      <c r="BL4" s="5374"/>
      <c r="BM4" s="5374"/>
      <c r="BN4" s="5374"/>
      <c r="BO4" s="5374"/>
      <c r="BP4" s="5374"/>
      <c r="BQ4" s="5375"/>
      <c r="BR4" s="5373"/>
      <c r="BS4" s="5374"/>
      <c r="BT4" s="5374"/>
      <c r="BU4" s="5374"/>
      <c r="BV4" s="5374"/>
      <c r="BW4" s="5374"/>
      <c r="BX4" s="5374"/>
      <c r="BY4" s="5375"/>
      <c r="BZ4" s="5373"/>
      <c r="CA4" s="5374"/>
      <c r="CB4" s="5374"/>
      <c r="CC4" s="5374"/>
      <c r="CD4" s="5374"/>
      <c r="CE4" s="5374"/>
      <c r="CF4" s="5374"/>
      <c r="CG4" s="5375"/>
      <c r="CH4" s="5373"/>
      <c r="CI4" s="5374"/>
      <c r="CJ4" s="5374"/>
      <c r="CK4" s="5374"/>
      <c r="CL4" s="5374"/>
      <c r="CM4" s="5374"/>
      <c r="CN4" s="5374"/>
      <c r="CO4" s="5375"/>
      <c r="CP4" s="5373"/>
      <c r="CQ4" s="5374"/>
      <c r="CR4" s="5374"/>
      <c r="CS4" s="5374"/>
      <c r="CT4" s="5374"/>
      <c r="CU4" s="5374"/>
      <c r="CV4" s="5374"/>
      <c r="CW4" s="5375"/>
      <c r="CX4" s="5373"/>
      <c r="CY4" s="5374"/>
      <c r="CZ4" s="5374"/>
      <c r="DA4" s="5374"/>
      <c r="DB4" s="5374"/>
      <c r="DC4" s="5374"/>
      <c r="DD4" s="5374"/>
      <c r="DE4" s="5376"/>
      <c r="DF4" s="5375"/>
      <c r="DG4" s="1184" t="s">
        <v>427</v>
      </c>
      <c r="DI4" s="436"/>
      <c r="DJ4" s="436" t="str">
        <f t="shared" si="0"/>
        <v xml:space="preserve">Наименование системы теплоснабжения </v>
      </c>
      <c r="DK4" s="436"/>
      <c r="DL4" s="436"/>
      <c r="DM4" s="1081">
        <v>0</v>
      </c>
    </row>
    <row r="5" spans="1:117" ht="21" hidden="1" customHeight="1">
      <c r="A5" s="1289"/>
      <c r="B5" s="1289"/>
      <c r="C5" s="1289"/>
      <c r="D5" s="1289"/>
      <c r="E5" s="5382"/>
      <c r="F5" s="5382"/>
      <c r="G5" s="5382"/>
      <c r="H5" s="5381">
        <v>1</v>
      </c>
      <c r="I5" s="1289"/>
      <c r="J5" s="1289"/>
      <c r="K5" s="1289"/>
      <c r="L5" s="1290"/>
      <c r="M5" s="1291"/>
      <c r="N5" s="1291"/>
      <c r="O5" s="1291"/>
      <c r="P5" s="290"/>
      <c r="Q5" s="288"/>
      <c r="R5" s="289"/>
      <c r="S5" s="1262" t="e">
        <f>INDEX(PT_DIFFERENTIATION_NUM_IST_TE,MATCH(D5,PT_DIFFERENTIATION_IST_TE_ID,0))</f>
        <v>#N/A</v>
      </c>
      <c r="T5" s="247" t="s">
        <v>428</v>
      </c>
      <c r="U5" s="237"/>
      <c r="V5" s="5373"/>
      <c r="W5" s="5374"/>
      <c r="X5" s="5374"/>
      <c r="Y5" s="5374"/>
      <c r="Z5" s="5374"/>
      <c r="AA5" s="5374"/>
      <c r="AB5" s="5374"/>
      <c r="AC5" s="5375"/>
      <c r="AD5" s="5373" t="e">
        <f>INDEX(PT_DIFFERENTIATION_IST_TE,MATCH(D5,PT_DIFFERENTIATION_IST_TE_ID,0))</f>
        <v>#N/A</v>
      </c>
      <c r="AE5" s="5374"/>
      <c r="AF5" s="5374"/>
      <c r="AG5" s="5374"/>
      <c r="AH5" s="5374"/>
      <c r="AI5" s="5374"/>
      <c r="AJ5" s="5374"/>
      <c r="AK5" s="5374"/>
      <c r="AL5" s="5373"/>
      <c r="AM5" s="5374"/>
      <c r="AN5" s="5374"/>
      <c r="AO5" s="5374"/>
      <c r="AP5" s="5374"/>
      <c r="AQ5" s="5374"/>
      <c r="AR5" s="5374"/>
      <c r="AS5" s="5375"/>
      <c r="AT5" s="5373"/>
      <c r="AU5" s="5374"/>
      <c r="AV5" s="5374"/>
      <c r="AW5" s="5374"/>
      <c r="AX5" s="5374"/>
      <c r="AY5" s="5374"/>
      <c r="AZ5" s="5374"/>
      <c r="BA5" s="5375"/>
      <c r="BB5" s="5373"/>
      <c r="BC5" s="5374"/>
      <c r="BD5" s="5374"/>
      <c r="BE5" s="5374"/>
      <c r="BF5" s="5374"/>
      <c r="BG5" s="5374"/>
      <c r="BH5" s="5374"/>
      <c r="BI5" s="5375"/>
      <c r="BJ5" s="5373"/>
      <c r="BK5" s="5374"/>
      <c r="BL5" s="5374"/>
      <c r="BM5" s="5374"/>
      <c r="BN5" s="5374"/>
      <c r="BO5" s="5374"/>
      <c r="BP5" s="5374"/>
      <c r="BQ5" s="5375"/>
      <c r="BR5" s="5373"/>
      <c r="BS5" s="5374"/>
      <c r="BT5" s="5374"/>
      <c r="BU5" s="5374"/>
      <c r="BV5" s="5374"/>
      <c r="BW5" s="5374"/>
      <c r="BX5" s="5374"/>
      <c r="BY5" s="5375"/>
      <c r="BZ5" s="5373"/>
      <c r="CA5" s="5374"/>
      <c r="CB5" s="5374"/>
      <c r="CC5" s="5374"/>
      <c r="CD5" s="5374"/>
      <c r="CE5" s="5374"/>
      <c r="CF5" s="5374"/>
      <c r="CG5" s="5375"/>
      <c r="CH5" s="5373"/>
      <c r="CI5" s="5374"/>
      <c r="CJ5" s="5374"/>
      <c r="CK5" s="5374"/>
      <c r="CL5" s="5374"/>
      <c r="CM5" s="5374"/>
      <c r="CN5" s="5374"/>
      <c r="CO5" s="5375"/>
      <c r="CP5" s="5373"/>
      <c r="CQ5" s="5374"/>
      <c r="CR5" s="5374"/>
      <c r="CS5" s="5374"/>
      <c r="CT5" s="5374"/>
      <c r="CU5" s="5374"/>
      <c r="CV5" s="5374"/>
      <c r="CW5" s="5375"/>
      <c r="CX5" s="5373"/>
      <c r="CY5" s="5374"/>
      <c r="CZ5" s="5374"/>
      <c r="DA5" s="5374"/>
      <c r="DB5" s="5374"/>
      <c r="DC5" s="5374"/>
      <c r="DD5" s="5374"/>
      <c r="DE5" s="5376"/>
      <c r="DF5" s="5375"/>
      <c r="DG5" s="1184" t="s">
        <v>429</v>
      </c>
      <c r="DI5" s="436"/>
      <c r="DJ5" s="436" t="str">
        <f t="shared" si="0"/>
        <v xml:space="preserve">Источник тепловой энергии  </v>
      </c>
      <c r="DK5" s="436"/>
      <c r="DL5" s="436"/>
      <c r="DM5" s="1081">
        <v>0</v>
      </c>
    </row>
    <row r="6" spans="1:117" ht="47.25" hidden="1" customHeight="1">
      <c r="A6" s="1289"/>
      <c r="B6" s="1289"/>
      <c r="C6" s="1289"/>
      <c r="D6" s="1289"/>
      <c r="E6" s="5382"/>
      <c r="F6" s="5382"/>
      <c r="G6" s="5382"/>
      <c r="H6" s="5382"/>
      <c r="I6" s="5383" t="e">
        <f>S5&amp;".1"</f>
        <v>#N/A</v>
      </c>
      <c r="J6" s="1289"/>
      <c r="K6" s="1289"/>
      <c r="L6" s="1290" t="s">
        <v>430</v>
      </c>
      <c r="M6" s="473"/>
      <c r="P6" s="5385">
        <v>1</v>
      </c>
      <c r="Q6" s="1257"/>
      <c r="R6" s="292"/>
      <c r="S6" s="1262" t="e">
        <f>$I6</f>
        <v>#N/A</v>
      </c>
      <c r="T6" s="222" t="s">
        <v>431</v>
      </c>
      <c r="U6" s="237"/>
      <c r="V6" s="5366"/>
      <c r="W6" s="5367"/>
      <c r="X6" s="5367"/>
      <c r="Y6" s="5367"/>
      <c r="Z6" s="5367"/>
      <c r="AA6" s="5367"/>
      <c r="AB6" s="5367"/>
      <c r="AC6" s="5368"/>
      <c r="AD6" s="5366"/>
      <c r="AE6" s="5367"/>
      <c r="AF6" s="5367"/>
      <c r="AG6" s="5367"/>
      <c r="AH6" s="5367"/>
      <c r="AI6" s="5367"/>
      <c r="AJ6" s="5367"/>
      <c r="AK6" s="5367"/>
      <c r="AL6" s="5366"/>
      <c r="AM6" s="5367"/>
      <c r="AN6" s="5367"/>
      <c r="AO6" s="5367"/>
      <c r="AP6" s="5367"/>
      <c r="AQ6" s="5367"/>
      <c r="AR6" s="5367"/>
      <c r="AS6" s="5368"/>
      <c r="AT6" s="5366"/>
      <c r="AU6" s="5367"/>
      <c r="AV6" s="5367"/>
      <c r="AW6" s="5367"/>
      <c r="AX6" s="5367"/>
      <c r="AY6" s="5367"/>
      <c r="AZ6" s="5367"/>
      <c r="BA6" s="5368"/>
      <c r="BB6" s="5366"/>
      <c r="BC6" s="5367"/>
      <c r="BD6" s="5367"/>
      <c r="BE6" s="5367"/>
      <c r="BF6" s="5367"/>
      <c r="BG6" s="5367"/>
      <c r="BH6" s="5367"/>
      <c r="BI6" s="5368"/>
      <c r="BJ6" s="5366"/>
      <c r="BK6" s="5367"/>
      <c r="BL6" s="5367"/>
      <c r="BM6" s="5367"/>
      <c r="BN6" s="5367"/>
      <c r="BO6" s="5367"/>
      <c r="BP6" s="5367"/>
      <c r="BQ6" s="5368"/>
      <c r="BR6" s="5366"/>
      <c r="BS6" s="5367"/>
      <c r="BT6" s="5367"/>
      <c r="BU6" s="5367"/>
      <c r="BV6" s="5367"/>
      <c r="BW6" s="5367"/>
      <c r="BX6" s="5367"/>
      <c r="BY6" s="5368"/>
      <c r="BZ6" s="5366"/>
      <c r="CA6" s="5367"/>
      <c r="CB6" s="5367"/>
      <c r="CC6" s="5367"/>
      <c r="CD6" s="5367"/>
      <c r="CE6" s="5367"/>
      <c r="CF6" s="5367"/>
      <c r="CG6" s="5368"/>
      <c r="CH6" s="5366"/>
      <c r="CI6" s="5367"/>
      <c r="CJ6" s="5367"/>
      <c r="CK6" s="5367"/>
      <c r="CL6" s="5367"/>
      <c r="CM6" s="5367"/>
      <c r="CN6" s="5367"/>
      <c r="CO6" s="5368"/>
      <c r="CP6" s="5366"/>
      <c r="CQ6" s="5367"/>
      <c r="CR6" s="5367"/>
      <c r="CS6" s="5367"/>
      <c r="CT6" s="5367"/>
      <c r="CU6" s="5367"/>
      <c r="CV6" s="5367"/>
      <c r="CW6" s="5368"/>
      <c r="CX6" s="5366"/>
      <c r="CY6" s="5367"/>
      <c r="CZ6" s="5367"/>
      <c r="DA6" s="5367"/>
      <c r="DB6" s="5367"/>
      <c r="DC6" s="5367"/>
      <c r="DD6" s="5367"/>
      <c r="DE6" s="5369"/>
      <c r="DF6" s="5368"/>
      <c r="DG6" s="1184" t="s">
        <v>432</v>
      </c>
      <c r="DI6" s="436"/>
      <c r="DJ6" s="436" t="str">
        <f t="shared" si="0"/>
        <v>Схема подключения теплопотребляющей установки к коллектору источника тепловой энергии</v>
      </c>
      <c r="DK6" s="436"/>
      <c r="DL6" s="436"/>
      <c r="DM6" s="1081">
        <v>0</v>
      </c>
    </row>
    <row r="7" spans="1:117" ht="21" hidden="1" customHeight="1">
      <c r="A7" s="1289"/>
      <c r="B7" s="1289"/>
      <c r="C7" s="1289"/>
      <c r="D7" s="1289"/>
      <c r="E7" s="5382"/>
      <c r="F7" s="5382"/>
      <c r="G7" s="5382"/>
      <c r="H7" s="5382"/>
      <c r="I7" s="5384"/>
      <c r="J7" s="5383" t="e">
        <f>I6&amp;".1"</f>
        <v>#N/A</v>
      </c>
      <c r="K7" s="1289"/>
      <c r="L7" s="1290" t="s">
        <v>433</v>
      </c>
      <c r="M7" s="473"/>
      <c r="N7" s="1292"/>
      <c r="P7" s="5385"/>
      <c r="Q7" s="5385">
        <v>1</v>
      </c>
      <c r="R7" s="293"/>
      <c r="S7" s="1262" t="e">
        <f>$J7</f>
        <v>#N/A</v>
      </c>
      <c r="T7" s="223" t="s">
        <v>434</v>
      </c>
      <c r="U7" s="237"/>
      <c r="V7" s="5366"/>
      <c r="W7" s="5367"/>
      <c r="X7" s="5367"/>
      <c r="Y7" s="5367"/>
      <c r="Z7" s="5367"/>
      <c r="AA7" s="5367"/>
      <c r="AB7" s="5367"/>
      <c r="AC7" s="5368"/>
      <c r="AD7" s="5366"/>
      <c r="AE7" s="5367"/>
      <c r="AF7" s="5367"/>
      <c r="AG7" s="5367"/>
      <c r="AH7" s="5367"/>
      <c r="AI7" s="5367"/>
      <c r="AJ7" s="5367"/>
      <c r="AK7" s="5367"/>
      <c r="AL7" s="5366"/>
      <c r="AM7" s="5367"/>
      <c r="AN7" s="5367"/>
      <c r="AO7" s="5367"/>
      <c r="AP7" s="5367"/>
      <c r="AQ7" s="5367"/>
      <c r="AR7" s="5367"/>
      <c r="AS7" s="5368"/>
      <c r="AT7" s="5366"/>
      <c r="AU7" s="5367"/>
      <c r="AV7" s="5367"/>
      <c r="AW7" s="5367"/>
      <c r="AX7" s="5367"/>
      <c r="AY7" s="5367"/>
      <c r="AZ7" s="5367"/>
      <c r="BA7" s="5368"/>
      <c r="BB7" s="5366"/>
      <c r="BC7" s="5367"/>
      <c r="BD7" s="5367"/>
      <c r="BE7" s="5367"/>
      <c r="BF7" s="5367"/>
      <c r="BG7" s="5367"/>
      <c r="BH7" s="5367"/>
      <c r="BI7" s="5368"/>
      <c r="BJ7" s="5366"/>
      <c r="BK7" s="5367"/>
      <c r="BL7" s="5367"/>
      <c r="BM7" s="5367"/>
      <c r="BN7" s="5367"/>
      <c r="BO7" s="5367"/>
      <c r="BP7" s="5367"/>
      <c r="BQ7" s="5368"/>
      <c r="BR7" s="5366"/>
      <c r="BS7" s="5367"/>
      <c r="BT7" s="5367"/>
      <c r="BU7" s="5367"/>
      <c r="BV7" s="5367"/>
      <c r="BW7" s="5367"/>
      <c r="BX7" s="5367"/>
      <c r="BY7" s="5368"/>
      <c r="BZ7" s="5366"/>
      <c r="CA7" s="5367"/>
      <c r="CB7" s="5367"/>
      <c r="CC7" s="5367"/>
      <c r="CD7" s="5367"/>
      <c r="CE7" s="5367"/>
      <c r="CF7" s="5367"/>
      <c r="CG7" s="5368"/>
      <c r="CH7" s="5366"/>
      <c r="CI7" s="5367"/>
      <c r="CJ7" s="5367"/>
      <c r="CK7" s="5367"/>
      <c r="CL7" s="5367"/>
      <c r="CM7" s="5367"/>
      <c r="CN7" s="5367"/>
      <c r="CO7" s="5368"/>
      <c r="CP7" s="5366"/>
      <c r="CQ7" s="5367"/>
      <c r="CR7" s="5367"/>
      <c r="CS7" s="5367"/>
      <c r="CT7" s="5367"/>
      <c r="CU7" s="5367"/>
      <c r="CV7" s="5367"/>
      <c r="CW7" s="5368"/>
      <c r="CX7" s="5366"/>
      <c r="CY7" s="5367"/>
      <c r="CZ7" s="5367"/>
      <c r="DA7" s="5367"/>
      <c r="DB7" s="5367"/>
      <c r="DC7" s="5367"/>
      <c r="DD7" s="5367"/>
      <c r="DE7" s="5369"/>
      <c r="DF7" s="5368"/>
      <c r="DG7" s="1184" t="s">
        <v>435</v>
      </c>
      <c r="DI7" s="436"/>
      <c r="DJ7" s="436" t="str">
        <f t="shared" si="0"/>
        <v>Группа потребителей</v>
      </c>
      <c r="DK7" s="436"/>
      <c r="DL7" s="436"/>
      <c r="DM7" s="1081">
        <v>0</v>
      </c>
    </row>
    <row r="8" spans="1:117" ht="21" hidden="1" customHeight="1">
      <c r="A8" s="1289"/>
      <c r="B8" s="1289"/>
      <c r="C8" s="1289"/>
      <c r="D8" s="1289"/>
      <c r="E8" s="5382"/>
      <c r="F8" s="5382"/>
      <c r="G8" s="5382"/>
      <c r="H8" s="5382"/>
      <c r="I8" s="5384"/>
      <c r="J8" s="5384"/>
      <c r="K8" s="5383" t="e">
        <f>J7&amp;".1"</f>
        <v>#N/A</v>
      </c>
      <c r="L8" s="1290" t="s">
        <v>436</v>
      </c>
      <c r="M8" s="473"/>
      <c r="N8" s="1292"/>
      <c r="O8" s="1292"/>
      <c r="P8" s="5385"/>
      <c r="Q8" s="5385"/>
      <c r="R8" s="293">
        <v>1</v>
      </c>
      <c r="S8" s="1262" t="e">
        <f>$K8</f>
        <v>#N/A</v>
      </c>
      <c r="T8" s="1273"/>
      <c r="U8" s="237"/>
      <c r="V8" s="262"/>
      <c r="W8" s="687"/>
      <c r="X8" s="262"/>
      <c r="Y8" s="320"/>
      <c r="Z8" s="5386"/>
      <c r="AA8" s="5245" t="s">
        <v>65</v>
      </c>
      <c r="AB8" s="5386"/>
      <c r="AC8" s="5245" t="s">
        <v>65</v>
      </c>
      <c r="AD8" s="262"/>
      <c r="AE8" s="687"/>
      <c r="AF8" s="262"/>
      <c r="AG8" s="320"/>
      <c r="AH8" s="5386"/>
      <c r="AI8" s="5245" t="s">
        <v>65</v>
      </c>
      <c r="AJ8" s="5386"/>
      <c r="AK8" s="5245" t="s">
        <v>65</v>
      </c>
      <c r="AL8" s="262"/>
      <c r="AM8" s="687"/>
      <c r="AN8" s="262"/>
      <c r="AO8" s="320"/>
      <c r="AP8" s="5386"/>
      <c r="AQ8" s="5245" t="s">
        <v>65</v>
      </c>
      <c r="AR8" s="5386"/>
      <c r="AS8" s="5245" t="s">
        <v>65</v>
      </c>
      <c r="AT8" s="262"/>
      <c r="AU8" s="687"/>
      <c r="AV8" s="262"/>
      <c r="AW8" s="320"/>
      <c r="AX8" s="5386"/>
      <c r="AY8" s="5245" t="s">
        <v>65</v>
      </c>
      <c r="AZ8" s="5386"/>
      <c r="BA8" s="5245" t="s">
        <v>65</v>
      </c>
      <c r="BB8" s="262"/>
      <c r="BC8" s="687"/>
      <c r="BD8" s="262"/>
      <c r="BE8" s="320"/>
      <c r="BF8" s="5386"/>
      <c r="BG8" s="5245" t="s">
        <v>65</v>
      </c>
      <c r="BH8" s="5386"/>
      <c r="BI8" s="5245" t="s">
        <v>65</v>
      </c>
      <c r="BJ8" s="262"/>
      <c r="BK8" s="687"/>
      <c r="BL8" s="262"/>
      <c r="BM8" s="320"/>
      <c r="BN8" s="5386"/>
      <c r="BO8" s="5245" t="s">
        <v>65</v>
      </c>
      <c r="BP8" s="5386"/>
      <c r="BQ8" s="5245" t="s">
        <v>65</v>
      </c>
      <c r="BR8" s="262"/>
      <c r="BS8" s="687"/>
      <c r="BT8" s="262"/>
      <c r="BU8" s="320"/>
      <c r="BV8" s="5386"/>
      <c r="BW8" s="5245" t="s">
        <v>65</v>
      </c>
      <c r="BX8" s="5386"/>
      <c r="BY8" s="5245" t="s">
        <v>65</v>
      </c>
      <c r="BZ8" s="262"/>
      <c r="CA8" s="687"/>
      <c r="CB8" s="262"/>
      <c r="CC8" s="320"/>
      <c r="CD8" s="5386"/>
      <c r="CE8" s="5245" t="s">
        <v>65</v>
      </c>
      <c r="CF8" s="5386"/>
      <c r="CG8" s="5245" t="s">
        <v>65</v>
      </c>
      <c r="CH8" s="262"/>
      <c r="CI8" s="687"/>
      <c r="CJ8" s="262"/>
      <c r="CK8" s="320"/>
      <c r="CL8" s="5386"/>
      <c r="CM8" s="5245" t="s">
        <v>65</v>
      </c>
      <c r="CN8" s="5386"/>
      <c r="CO8" s="5245" t="s">
        <v>65</v>
      </c>
      <c r="CP8" s="262"/>
      <c r="CQ8" s="687"/>
      <c r="CR8" s="262"/>
      <c r="CS8" s="320"/>
      <c r="CT8" s="5386"/>
      <c r="CU8" s="5245" t="s">
        <v>65</v>
      </c>
      <c r="CV8" s="5386"/>
      <c r="CW8" s="5245" t="s">
        <v>65</v>
      </c>
      <c r="CX8" s="262"/>
      <c r="CY8" s="687"/>
      <c r="CZ8" s="262"/>
      <c r="DA8" s="320"/>
      <c r="DB8" s="5386"/>
      <c r="DC8" s="5245" t="s">
        <v>65</v>
      </c>
      <c r="DD8" s="5386"/>
      <c r="DE8" s="5245" t="s">
        <v>65</v>
      </c>
      <c r="DF8" s="262"/>
      <c r="DG8" s="5405" t="s">
        <v>437</v>
      </c>
      <c r="DH8" s="447" t="e">
        <f ca="1">STRCHECKDATE(V9:DF9)</f>
        <v>#NAME?</v>
      </c>
      <c r="DI8" s="436"/>
      <c r="DJ8" s="436" t="str">
        <f t="shared" si="0"/>
        <v/>
      </c>
      <c r="DK8" s="436"/>
      <c r="DL8" s="436"/>
      <c r="DM8" s="1081">
        <v>0</v>
      </c>
    </row>
    <row r="9" spans="1:117" ht="0.75" hidden="1" customHeight="1">
      <c r="A9" s="1289"/>
      <c r="B9" s="1289"/>
      <c r="C9" s="1289"/>
      <c r="D9" s="1289"/>
      <c r="E9" s="5382"/>
      <c r="F9" s="5382"/>
      <c r="G9" s="5382"/>
      <c r="H9" s="5382"/>
      <c r="I9" s="5384"/>
      <c r="J9" s="5384"/>
      <c r="K9" s="5383"/>
      <c r="L9" s="1290"/>
      <c r="M9" s="473"/>
      <c r="N9" s="1292"/>
      <c r="O9" s="1292"/>
      <c r="P9" s="5385"/>
      <c r="Q9" s="5385"/>
      <c r="R9" s="293"/>
      <c r="S9" s="1268"/>
      <c r="T9" s="237"/>
      <c r="U9" s="237"/>
      <c r="V9" s="262"/>
      <c r="W9" s="262"/>
      <c r="X9" s="262"/>
      <c r="Y9" s="265" t="str">
        <f>Z8&amp;"-"&amp;AB8</f>
        <v>-</v>
      </c>
      <c r="Z9" s="5387"/>
      <c r="AA9" s="5245"/>
      <c r="AB9" s="5387"/>
      <c r="AC9" s="5245"/>
      <c r="AD9" s="262"/>
      <c r="AE9" s="262"/>
      <c r="AF9" s="262"/>
      <c r="AG9" s="265" t="str">
        <f>AH8&amp;"-"&amp;AJ8</f>
        <v>-</v>
      </c>
      <c r="AH9" s="5387"/>
      <c r="AI9" s="5245"/>
      <c r="AJ9" s="5387"/>
      <c r="AK9" s="5245"/>
      <c r="AL9" s="262"/>
      <c r="AM9" s="262"/>
      <c r="AN9" s="262"/>
      <c r="AO9" s="265" t="str">
        <f>AP8&amp;"-"&amp;AR8</f>
        <v>-</v>
      </c>
      <c r="AP9" s="5387"/>
      <c r="AQ9" s="5245"/>
      <c r="AR9" s="5387"/>
      <c r="AS9" s="5245"/>
      <c r="AT9" s="262"/>
      <c r="AU9" s="262"/>
      <c r="AV9" s="262"/>
      <c r="AW9" s="265" t="str">
        <f>AX8&amp;"-"&amp;AZ8</f>
        <v>-</v>
      </c>
      <c r="AX9" s="5387"/>
      <c r="AY9" s="5245"/>
      <c r="AZ9" s="5387"/>
      <c r="BA9" s="5245"/>
      <c r="BB9" s="262"/>
      <c r="BC9" s="262"/>
      <c r="BD9" s="262"/>
      <c r="BE9" s="265" t="str">
        <f>BF8&amp;"-"&amp;BH8</f>
        <v>-</v>
      </c>
      <c r="BF9" s="5387"/>
      <c r="BG9" s="5245"/>
      <c r="BH9" s="5387"/>
      <c r="BI9" s="5245"/>
      <c r="BJ9" s="262"/>
      <c r="BK9" s="262"/>
      <c r="BL9" s="262"/>
      <c r="BM9" s="265" t="str">
        <f>BN8&amp;"-"&amp;BP8</f>
        <v>-</v>
      </c>
      <c r="BN9" s="5387"/>
      <c r="BO9" s="5245"/>
      <c r="BP9" s="5387"/>
      <c r="BQ9" s="5245"/>
      <c r="BR9" s="262"/>
      <c r="BS9" s="262"/>
      <c r="BT9" s="262"/>
      <c r="BU9" s="265" t="str">
        <f>BV8&amp;"-"&amp;BX8</f>
        <v>-</v>
      </c>
      <c r="BV9" s="5387"/>
      <c r="BW9" s="5245"/>
      <c r="BX9" s="5387"/>
      <c r="BY9" s="5245"/>
      <c r="BZ9" s="262"/>
      <c r="CA9" s="262"/>
      <c r="CB9" s="262"/>
      <c r="CC9" s="265" t="str">
        <f>CD8&amp;"-"&amp;CF8</f>
        <v>-</v>
      </c>
      <c r="CD9" s="5387"/>
      <c r="CE9" s="5245"/>
      <c r="CF9" s="5387"/>
      <c r="CG9" s="5245"/>
      <c r="CH9" s="262"/>
      <c r="CI9" s="262"/>
      <c r="CJ9" s="262"/>
      <c r="CK9" s="265" t="str">
        <f>CL8&amp;"-"&amp;CN8</f>
        <v>-</v>
      </c>
      <c r="CL9" s="5387"/>
      <c r="CM9" s="5245"/>
      <c r="CN9" s="5387"/>
      <c r="CO9" s="5245"/>
      <c r="CP9" s="262"/>
      <c r="CQ9" s="262"/>
      <c r="CR9" s="262"/>
      <c r="CS9" s="265" t="str">
        <f>CT8&amp;"-"&amp;CV8</f>
        <v>-</v>
      </c>
      <c r="CT9" s="5387"/>
      <c r="CU9" s="5245"/>
      <c r="CV9" s="5387"/>
      <c r="CW9" s="5245"/>
      <c r="CX9" s="262"/>
      <c r="CY9" s="262"/>
      <c r="CZ9" s="262"/>
      <c r="DA9" s="265" t="str">
        <f>DB8&amp;"-"&amp;DD8</f>
        <v>-</v>
      </c>
      <c r="DB9" s="5387"/>
      <c r="DC9" s="5245"/>
      <c r="DD9" s="5387"/>
      <c r="DE9" s="5245"/>
      <c r="DF9" s="262"/>
      <c r="DG9" s="5406"/>
      <c r="DI9" s="436"/>
      <c r="DJ9" s="436" t="str">
        <f t="shared" si="0"/>
        <v/>
      </c>
      <c r="DK9" s="436"/>
      <c r="DL9" s="436"/>
      <c r="DM9" s="1081">
        <v>0</v>
      </c>
    </row>
    <row r="10" spans="1:117" ht="15" hidden="1" customHeight="1">
      <c r="A10" s="1289"/>
      <c r="B10" s="1289"/>
      <c r="C10" s="1289"/>
      <c r="D10" s="1289"/>
      <c r="E10" s="5382"/>
      <c r="F10" s="5382"/>
      <c r="G10" s="5382"/>
      <c r="H10" s="5382"/>
      <c r="I10" s="5384"/>
      <c r="J10" s="5383"/>
      <c r="K10" s="1289"/>
      <c r="L10" s="1290"/>
      <c r="M10" s="473"/>
      <c r="N10" s="1292"/>
      <c r="P10" s="5385"/>
      <c r="Q10" s="5385"/>
      <c r="R10" s="292"/>
      <c r="S10" s="1204"/>
      <c r="T10" s="225" t="s">
        <v>438</v>
      </c>
      <c r="U10" s="303"/>
      <c r="V10" s="303"/>
      <c r="W10" s="303"/>
      <c r="X10" s="303"/>
      <c r="Y10" s="303"/>
      <c r="Z10" s="303"/>
      <c r="AA10" s="303"/>
      <c r="AB10" s="303"/>
      <c r="AC10" s="303"/>
      <c r="AD10" s="303"/>
      <c r="AE10" s="303"/>
      <c r="AF10" s="303"/>
      <c r="AG10" s="303"/>
      <c r="AH10" s="303"/>
      <c r="AI10" s="303"/>
      <c r="AJ10" s="303"/>
      <c r="AK10" s="303"/>
      <c r="AL10" s="3713"/>
      <c r="AM10" s="3714"/>
      <c r="AN10" s="3715"/>
      <c r="AO10" s="3716"/>
      <c r="AP10" s="3717"/>
      <c r="AQ10" s="3718"/>
      <c r="AR10" s="3719"/>
      <c r="AS10" s="3720"/>
      <c r="AT10" s="3721"/>
      <c r="AU10" s="3722"/>
      <c r="AV10" s="3723"/>
      <c r="AW10" s="3724"/>
      <c r="AX10" s="3725"/>
      <c r="AY10" s="3726"/>
      <c r="AZ10" s="3727"/>
      <c r="BA10" s="3728"/>
      <c r="BB10" s="3729"/>
      <c r="BC10" s="3730"/>
      <c r="BD10" s="3731"/>
      <c r="BE10" s="3732"/>
      <c r="BF10" s="3733"/>
      <c r="BG10" s="3734"/>
      <c r="BH10" s="3735"/>
      <c r="BI10" s="3736"/>
      <c r="BJ10" s="3737"/>
      <c r="BK10" s="3738"/>
      <c r="BL10" s="3739"/>
      <c r="BM10" s="3740"/>
      <c r="BN10" s="3741"/>
      <c r="BO10" s="3742"/>
      <c r="BP10" s="3743"/>
      <c r="BQ10" s="3744"/>
      <c r="BR10" s="3745"/>
      <c r="BS10" s="3746"/>
      <c r="BT10" s="3747"/>
      <c r="BU10" s="3748"/>
      <c r="BV10" s="3749"/>
      <c r="BW10" s="3750"/>
      <c r="BX10" s="3751"/>
      <c r="BY10" s="3752"/>
      <c r="BZ10" s="3753"/>
      <c r="CA10" s="3754"/>
      <c r="CB10" s="3755"/>
      <c r="CC10" s="3756"/>
      <c r="CD10" s="3757"/>
      <c r="CE10" s="3758"/>
      <c r="CF10" s="3759"/>
      <c r="CG10" s="3760"/>
      <c r="CH10" s="3761"/>
      <c r="CI10" s="3762"/>
      <c r="CJ10" s="3763"/>
      <c r="CK10" s="3764"/>
      <c r="CL10" s="3765"/>
      <c r="CM10" s="3766"/>
      <c r="CN10" s="3767"/>
      <c r="CO10" s="3768"/>
      <c r="CP10" s="3769"/>
      <c r="CQ10" s="3770"/>
      <c r="CR10" s="3771"/>
      <c r="CS10" s="3772"/>
      <c r="CT10" s="3773"/>
      <c r="CU10" s="3774"/>
      <c r="CV10" s="3775"/>
      <c r="CW10" s="3776"/>
      <c r="CX10" s="3777"/>
      <c r="CY10" s="3778"/>
      <c r="CZ10" s="3779"/>
      <c r="DA10" s="3780"/>
      <c r="DB10" s="3781"/>
      <c r="DC10" s="3782"/>
      <c r="DD10" s="3783"/>
      <c r="DE10" s="5182"/>
      <c r="DF10" s="261"/>
      <c r="DG10" s="5407"/>
      <c r="DI10" s="436"/>
      <c r="DJ10" s="436" t="str">
        <f t="shared" si="0"/>
        <v>Добавить вид теплоносителя (параметры теплоносителя)</v>
      </c>
      <c r="DK10" s="436"/>
      <c r="DL10" s="436"/>
      <c r="DM10" s="1081">
        <v>0</v>
      </c>
    </row>
    <row r="11" spans="1:117" ht="15" hidden="1" customHeight="1">
      <c r="A11" s="1289"/>
      <c r="B11" s="1289"/>
      <c r="C11" s="1289"/>
      <c r="D11" s="1289"/>
      <c r="E11" s="5382"/>
      <c r="F11" s="5382"/>
      <c r="G11" s="5382"/>
      <c r="H11" s="5382"/>
      <c r="I11" s="5383"/>
      <c r="J11" s="1289"/>
      <c r="K11" s="1289"/>
      <c r="L11" s="1290"/>
      <c r="M11" s="473"/>
      <c r="P11" s="5385"/>
      <c r="Q11" s="1257"/>
      <c r="R11" s="292"/>
      <c r="S11" s="1204"/>
      <c r="T11" s="224" t="s">
        <v>439</v>
      </c>
      <c r="U11" s="303"/>
      <c r="V11" s="303"/>
      <c r="W11" s="303"/>
      <c r="X11" s="303"/>
      <c r="Y11" s="303"/>
      <c r="Z11" s="303"/>
      <c r="AA11" s="303"/>
      <c r="AB11" s="303"/>
      <c r="AC11" s="302"/>
      <c r="AD11" s="303"/>
      <c r="AE11" s="303"/>
      <c r="AF11" s="303"/>
      <c r="AG11" s="303"/>
      <c r="AH11" s="303"/>
      <c r="AI11" s="303"/>
      <c r="AJ11" s="303"/>
      <c r="AK11" s="302"/>
      <c r="AL11" s="3784"/>
      <c r="AM11" s="3785"/>
      <c r="AN11" s="3786"/>
      <c r="AO11" s="3787"/>
      <c r="AP11" s="3788"/>
      <c r="AQ11" s="3789"/>
      <c r="AR11" s="3790"/>
      <c r="AS11" s="3791"/>
      <c r="AT11" s="3792"/>
      <c r="AU11" s="3793"/>
      <c r="AV11" s="3794"/>
      <c r="AW11" s="3795"/>
      <c r="AX11" s="3796"/>
      <c r="AY11" s="3797"/>
      <c r="AZ11" s="3798"/>
      <c r="BA11" s="3799"/>
      <c r="BB11" s="3800"/>
      <c r="BC11" s="3801"/>
      <c r="BD11" s="3802"/>
      <c r="BE11" s="3803"/>
      <c r="BF11" s="3804"/>
      <c r="BG11" s="3805"/>
      <c r="BH11" s="3806"/>
      <c r="BI11" s="3807"/>
      <c r="BJ11" s="3808"/>
      <c r="BK11" s="3809"/>
      <c r="BL11" s="3810"/>
      <c r="BM11" s="3811"/>
      <c r="BN11" s="3812"/>
      <c r="BO11" s="3813"/>
      <c r="BP11" s="3814"/>
      <c r="BQ11" s="3815"/>
      <c r="BR11" s="3816"/>
      <c r="BS11" s="3817"/>
      <c r="BT11" s="3818"/>
      <c r="BU11" s="3819"/>
      <c r="BV11" s="3820"/>
      <c r="BW11" s="3821"/>
      <c r="BX11" s="3822"/>
      <c r="BY11" s="3823"/>
      <c r="BZ11" s="3824"/>
      <c r="CA11" s="3825"/>
      <c r="CB11" s="3826"/>
      <c r="CC11" s="3827"/>
      <c r="CD11" s="3828"/>
      <c r="CE11" s="3829"/>
      <c r="CF11" s="3830"/>
      <c r="CG11" s="3831"/>
      <c r="CH11" s="3832"/>
      <c r="CI11" s="3833"/>
      <c r="CJ11" s="3834"/>
      <c r="CK11" s="3835"/>
      <c r="CL11" s="3836"/>
      <c r="CM11" s="3837"/>
      <c r="CN11" s="3838"/>
      <c r="CO11" s="3839"/>
      <c r="CP11" s="3840"/>
      <c r="CQ11" s="3841"/>
      <c r="CR11" s="3842"/>
      <c r="CS11" s="3843"/>
      <c r="CT11" s="3844"/>
      <c r="CU11" s="3845"/>
      <c r="CV11" s="3846"/>
      <c r="CW11" s="3847"/>
      <c r="CX11" s="3848"/>
      <c r="CY11" s="3849"/>
      <c r="CZ11" s="3850"/>
      <c r="DA11" s="3851"/>
      <c r="DB11" s="3852"/>
      <c r="DC11" s="3853"/>
      <c r="DD11" s="3854"/>
      <c r="DE11" s="5183"/>
      <c r="DF11" s="303"/>
      <c r="DG11" s="240"/>
      <c r="DI11" s="436"/>
      <c r="DJ11" s="436" t="str">
        <f t="shared" si="0"/>
        <v>Добавить группу потребителей</v>
      </c>
      <c r="DK11" s="436"/>
      <c r="DL11" s="436"/>
      <c r="DM11" s="1081">
        <v>0</v>
      </c>
    </row>
    <row r="12" spans="1:117" ht="14.25" hidden="1" customHeight="1">
      <c r="A12" s="1289"/>
      <c r="B12" s="1289"/>
      <c r="C12" s="1289"/>
      <c r="D12" s="1289"/>
      <c r="E12" s="5382"/>
      <c r="F12" s="5382"/>
      <c r="G12" s="5382"/>
      <c r="H12" s="5381"/>
      <c r="I12" s="1289"/>
      <c r="J12" s="1289"/>
      <c r="K12" s="1289"/>
      <c r="L12" s="1290"/>
      <c r="M12" s="1291"/>
      <c r="N12" s="1291"/>
      <c r="O12" s="473"/>
      <c r="P12" s="296"/>
      <c r="Q12" s="311"/>
      <c r="R12" s="291"/>
      <c r="S12" s="1204"/>
      <c r="T12" s="301" t="s">
        <v>440</v>
      </c>
      <c r="U12" s="303"/>
      <c r="V12" s="303"/>
      <c r="W12" s="303"/>
      <c r="X12" s="303"/>
      <c r="Y12" s="303"/>
      <c r="Z12" s="303"/>
      <c r="AA12" s="303"/>
      <c r="AB12" s="303"/>
      <c r="AC12" s="302"/>
      <c r="AD12" s="303"/>
      <c r="AE12" s="303"/>
      <c r="AF12" s="303"/>
      <c r="AG12" s="303"/>
      <c r="AH12" s="303"/>
      <c r="AI12" s="303"/>
      <c r="AJ12" s="303"/>
      <c r="AK12" s="302"/>
      <c r="AL12" s="3855"/>
      <c r="AM12" s="3856"/>
      <c r="AN12" s="3857"/>
      <c r="AO12" s="3858"/>
      <c r="AP12" s="3859"/>
      <c r="AQ12" s="3860"/>
      <c r="AR12" s="3861"/>
      <c r="AS12" s="3862"/>
      <c r="AT12" s="3863"/>
      <c r="AU12" s="3864"/>
      <c r="AV12" s="3865"/>
      <c r="AW12" s="3866"/>
      <c r="AX12" s="3867"/>
      <c r="AY12" s="3868"/>
      <c r="AZ12" s="3869"/>
      <c r="BA12" s="3870"/>
      <c r="BB12" s="3871"/>
      <c r="BC12" s="3872"/>
      <c r="BD12" s="3873"/>
      <c r="BE12" s="3874"/>
      <c r="BF12" s="3875"/>
      <c r="BG12" s="3876"/>
      <c r="BH12" s="3877"/>
      <c r="BI12" s="3878"/>
      <c r="BJ12" s="3879"/>
      <c r="BK12" s="3880"/>
      <c r="BL12" s="3881"/>
      <c r="BM12" s="3882"/>
      <c r="BN12" s="3883"/>
      <c r="BO12" s="3884"/>
      <c r="BP12" s="3885"/>
      <c r="BQ12" s="3886"/>
      <c r="BR12" s="3887"/>
      <c r="BS12" s="3888"/>
      <c r="BT12" s="3889"/>
      <c r="BU12" s="3890"/>
      <c r="BV12" s="3891"/>
      <c r="BW12" s="3892"/>
      <c r="BX12" s="3893"/>
      <c r="BY12" s="3894"/>
      <c r="BZ12" s="3895"/>
      <c r="CA12" s="3896"/>
      <c r="CB12" s="3897"/>
      <c r="CC12" s="3898"/>
      <c r="CD12" s="3899"/>
      <c r="CE12" s="3900"/>
      <c r="CF12" s="3901"/>
      <c r="CG12" s="3902"/>
      <c r="CH12" s="3903"/>
      <c r="CI12" s="3904"/>
      <c r="CJ12" s="3905"/>
      <c r="CK12" s="3906"/>
      <c r="CL12" s="3907"/>
      <c r="CM12" s="3908"/>
      <c r="CN12" s="3909"/>
      <c r="CO12" s="3910"/>
      <c r="CP12" s="3911"/>
      <c r="CQ12" s="3912"/>
      <c r="CR12" s="3913"/>
      <c r="CS12" s="3914"/>
      <c r="CT12" s="3915"/>
      <c r="CU12" s="3916"/>
      <c r="CV12" s="3917"/>
      <c r="CW12" s="3918"/>
      <c r="CX12" s="3919"/>
      <c r="CY12" s="3920"/>
      <c r="CZ12" s="3921"/>
      <c r="DA12" s="3922"/>
      <c r="DB12" s="3923"/>
      <c r="DC12" s="3924"/>
      <c r="DD12" s="3925"/>
      <c r="DE12" s="5184"/>
      <c r="DF12" s="303"/>
      <c r="DG12" s="240"/>
      <c r="DI12" s="436"/>
      <c r="DJ12" s="436" t="str">
        <f t="shared" si="0"/>
        <v>Добавить схему подключения</v>
      </c>
      <c r="DK12" s="436"/>
      <c r="DL12" s="436"/>
      <c r="DM12" s="1081">
        <v>0</v>
      </c>
    </row>
    <row r="13" spans="1:117" s="1568" customFormat="1" ht="0.75" hidden="1" customHeight="1">
      <c r="A13" s="1240"/>
      <c r="B13" s="1240"/>
      <c r="C13" s="1240"/>
      <c r="D13" s="1240"/>
      <c r="E13" s="5382"/>
      <c r="F13" s="5382"/>
      <c r="G13" s="5381"/>
      <c r="H13" s="1240"/>
      <c r="I13" s="1240"/>
      <c r="J13" s="1240"/>
      <c r="K13" s="1240"/>
      <c r="L13" s="1265"/>
      <c r="M13" s="1241"/>
      <c r="N13" s="1241"/>
      <c r="P13" s="1242"/>
      <c r="Q13" s="1243"/>
      <c r="R13" s="1242"/>
      <c r="S13" s="1244"/>
      <c r="T13" s="1245" t="s">
        <v>163</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c r="CB13" s="1246"/>
      <c r="CC13" s="1246"/>
      <c r="CD13" s="1246"/>
      <c r="CE13" s="1246"/>
      <c r="CF13" s="1246"/>
      <c r="CG13" s="1246"/>
      <c r="CH13" s="1246"/>
      <c r="CI13" s="1246"/>
      <c r="CJ13" s="1246"/>
      <c r="CK13" s="1246"/>
      <c r="CL13" s="1246"/>
      <c r="CM13" s="1246"/>
      <c r="CN13" s="1246"/>
      <c r="CO13" s="1246"/>
      <c r="CP13" s="1246"/>
      <c r="CQ13" s="1246"/>
      <c r="CR13" s="1246"/>
      <c r="CS13" s="1246"/>
      <c r="CT13" s="1246"/>
      <c r="CU13" s="1246"/>
      <c r="CV13" s="1246"/>
      <c r="CW13" s="1246"/>
      <c r="CX13" s="1246"/>
      <c r="CY13" s="1246"/>
      <c r="CZ13" s="1246"/>
      <c r="DA13" s="1246"/>
      <c r="DB13" s="1246"/>
      <c r="DC13" s="1246"/>
      <c r="DD13" s="1246"/>
      <c r="DE13" s="1246"/>
      <c r="DF13" s="1246"/>
      <c r="DG13" s="1246"/>
      <c r="DI13" s="719"/>
      <c r="DJ13" s="719" t="str">
        <f t="shared" si="0"/>
        <v>Добавить источник для дифференциации</v>
      </c>
      <c r="DK13" s="719"/>
      <c r="DL13" s="719"/>
      <c r="DM13" s="454">
        <v>0</v>
      </c>
    </row>
    <row r="14" spans="1:117" s="1568" customFormat="1" ht="0.75" hidden="1" customHeight="1">
      <c r="A14" s="1240"/>
      <c r="B14" s="1240"/>
      <c r="C14" s="1240"/>
      <c r="D14" s="1240"/>
      <c r="E14" s="5382"/>
      <c r="F14" s="5381"/>
      <c r="G14" s="1240"/>
      <c r="H14" s="1240"/>
      <c r="I14" s="1240"/>
      <c r="J14" s="1240"/>
      <c r="K14" s="1240"/>
      <c r="L14" s="1265"/>
      <c r="M14" s="1247"/>
      <c r="N14" s="1247"/>
      <c r="P14" s="1242"/>
      <c r="Q14" s="1243"/>
      <c r="R14" s="1242"/>
      <c r="S14" s="1248"/>
      <c r="T14" s="1249" t="s">
        <v>164</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c r="CB14" s="1250"/>
      <c r="CC14" s="1250"/>
      <c r="CD14" s="1250"/>
      <c r="CE14" s="1250"/>
      <c r="CF14" s="1250"/>
      <c r="CG14" s="1250"/>
      <c r="CH14" s="1250"/>
      <c r="CI14" s="1250"/>
      <c r="CJ14" s="1250"/>
      <c r="CK14" s="1250"/>
      <c r="CL14" s="1250"/>
      <c r="CM14" s="1250"/>
      <c r="CN14" s="1250"/>
      <c r="CO14" s="1250"/>
      <c r="CP14" s="1250"/>
      <c r="CQ14" s="1250"/>
      <c r="CR14" s="1250"/>
      <c r="CS14" s="1250"/>
      <c r="CT14" s="1250"/>
      <c r="CU14" s="1250"/>
      <c r="CV14" s="1250"/>
      <c r="CW14" s="1250"/>
      <c r="CX14" s="1250"/>
      <c r="CY14" s="1250"/>
      <c r="CZ14" s="1250"/>
      <c r="DA14" s="1250"/>
      <c r="DB14" s="1250"/>
      <c r="DC14" s="1250"/>
      <c r="DD14" s="1250"/>
      <c r="DE14" s="1250"/>
      <c r="DF14" s="1250"/>
      <c r="DG14" s="1250"/>
      <c r="DI14" s="719"/>
      <c r="DJ14" s="719" t="str">
        <f t="shared" si="0"/>
        <v>Добавить централизованную систему для дифференциации</v>
      </c>
      <c r="DK14" s="719"/>
      <c r="DL14" s="719"/>
      <c r="DM14" s="454">
        <v>0</v>
      </c>
    </row>
    <row r="15" spans="1:117" s="1568" customFormat="1" ht="0.75" hidden="1" customHeight="1">
      <c r="A15" s="1240"/>
      <c r="B15" s="1240"/>
      <c r="C15" s="1240"/>
      <c r="D15" s="1240"/>
      <c r="E15" s="5381"/>
      <c r="F15" s="1240"/>
      <c r="G15" s="1240"/>
      <c r="H15" s="1240"/>
      <c r="I15" s="1240"/>
      <c r="J15" s="1240"/>
      <c r="K15" s="1240"/>
      <c r="L15" s="1265"/>
      <c r="M15" s="1247"/>
      <c r="N15" s="1247"/>
      <c r="P15" s="1242"/>
      <c r="Q15" s="1243"/>
      <c r="R15" s="1242"/>
      <c r="S15" s="1248"/>
      <c r="T15" s="1251" t="s">
        <v>165</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c r="CB15" s="1250"/>
      <c r="CC15" s="1250"/>
      <c r="CD15" s="1250"/>
      <c r="CE15" s="1250"/>
      <c r="CF15" s="1250"/>
      <c r="CG15" s="1250"/>
      <c r="CH15" s="1250"/>
      <c r="CI15" s="1250"/>
      <c r="CJ15" s="1250"/>
      <c r="CK15" s="1250"/>
      <c r="CL15" s="1250"/>
      <c r="CM15" s="1250"/>
      <c r="CN15" s="1250"/>
      <c r="CO15" s="1250"/>
      <c r="CP15" s="1250"/>
      <c r="CQ15" s="1250"/>
      <c r="CR15" s="1250"/>
      <c r="CS15" s="1250"/>
      <c r="CT15" s="1250"/>
      <c r="CU15" s="1250"/>
      <c r="CV15" s="1250"/>
      <c r="CW15" s="1250"/>
      <c r="CX15" s="1250"/>
      <c r="CY15" s="1250"/>
      <c r="CZ15" s="1250"/>
      <c r="DA15" s="1250"/>
      <c r="DB15" s="1250"/>
      <c r="DC15" s="1250"/>
      <c r="DD15" s="1250"/>
      <c r="DE15" s="1250"/>
      <c r="DF15" s="1250"/>
      <c r="DG15" s="1250"/>
      <c r="DI15" s="719"/>
      <c r="DJ15" s="719" t="str">
        <f t="shared" si="0"/>
        <v>Добавить территорию для дифференциации</v>
      </c>
      <c r="DK15" s="719"/>
      <c r="DL15" s="719"/>
      <c r="DM15" s="454">
        <v>0</v>
      </c>
    </row>
    <row r="16" spans="1:117" ht="14.25" hidden="1" customHeight="1">
      <c r="AC16" s="264"/>
      <c r="AK16" s="264"/>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1561"/>
      <c r="BM16" s="1561"/>
      <c r="BN16" s="1561"/>
      <c r="BO16" s="1561"/>
      <c r="BP16" s="1561"/>
      <c r="BQ16" s="1561"/>
      <c r="BR16" s="1561"/>
      <c r="BS16" s="1561"/>
      <c r="BT16" s="1561"/>
      <c r="BU16" s="1561"/>
      <c r="BV16" s="1561"/>
      <c r="BW16" s="1561"/>
      <c r="BX16" s="1561"/>
      <c r="BY16" s="1561"/>
      <c r="BZ16" s="1561"/>
      <c r="CA16" s="1561"/>
      <c r="CB16" s="1561"/>
      <c r="CC16" s="1561"/>
      <c r="CD16" s="1561"/>
      <c r="CE16" s="1561"/>
      <c r="CF16" s="1561"/>
      <c r="CG16" s="1561"/>
      <c r="CH16" s="1561"/>
      <c r="CI16" s="1561"/>
      <c r="CJ16" s="1561"/>
      <c r="CK16" s="1561"/>
      <c r="CL16" s="1561"/>
      <c r="CM16" s="1561"/>
      <c r="CN16" s="1561"/>
      <c r="CO16" s="1561"/>
      <c r="CP16" s="1561"/>
      <c r="CQ16" s="1561"/>
      <c r="CR16" s="1561"/>
      <c r="CS16" s="1561"/>
      <c r="CT16" s="1561"/>
      <c r="CU16" s="1561"/>
      <c r="CV16" s="1561"/>
      <c r="CW16" s="1561"/>
      <c r="CX16" s="1561"/>
      <c r="CY16" s="1561"/>
      <c r="CZ16" s="1561"/>
      <c r="DA16" s="1561"/>
      <c r="DB16" s="1561"/>
      <c r="DC16" s="1561"/>
      <c r="DD16" s="1561"/>
      <c r="DE16" s="5155"/>
      <c r="DM16" s="1081">
        <v>0</v>
      </c>
    </row>
    <row r="17" spans="1:117" ht="14.25" hidden="1" customHeight="1">
      <c r="AD17" s="1286"/>
      <c r="AE17" s="1286"/>
      <c r="AF17" s="1286"/>
      <c r="AG17" s="1287"/>
      <c r="AH17" s="5378"/>
      <c r="AI17" s="5377" t="s">
        <v>65</v>
      </c>
      <c r="AJ17" s="5378"/>
      <c r="AK17" s="5377" t="s">
        <v>65</v>
      </c>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1561"/>
      <c r="BM17" s="1561"/>
      <c r="BN17" s="1561"/>
      <c r="BO17" s="1561"/>
      <c r="BP17" s="1561"/>
      <c r="BQ17" s="1561"/>
      <c r="BR17" s="1561"/>
      <c r="BS17" s="1561"/>
      <c r="BT17" s="1561"/>
      <c r="BU17" s="1561"/>
      <c r="BV17" s="1561"/>
      <c r="BW17" s="1561"/>
      <c r="BX17" s="1561"/>
      <c r="BY17" s="1561"/>
      <c r="BZ17" s="1561"/>
      <c r="CA17" s="1561"/>
      <c r="CB17" s="1561"/>
      <c r="CC17" s="1561"/>
      <c r="CD17" s="1561"/>
      <c r="CE17" s="1561"/>
      <c r="CF17" s="1561"/>
      <c r="CG17" s="1561"/>
      <c r="CH17" s="1561"/>
      <c r="CI17" s="1561"/>
      <c r="CJ17" s="1561"/>
      <c r="CK17" s="1561"/>
      <c r="CL17" s="1561"/>
      <c r="CM17" s="1561"/>
      <c r="CN17" s="1561"/>
      <c r="CO17" s="1561"/>
      <c r="CP17" s="1561"/>
      <c r="CQ17" s="1561"/>
      <c r="CR17" s="1561"/>
      <c r="CS17" s="1561"/>
      <c r="CT17" s="1561"/>
      <c r="CU17" s="1561"/>
      <c r="CV17" s="1561"/>
      <c r="CW17" s="1561"/>
      <c r="CX17" s="1561"/>
      <c r="CY17" s="1561"/>
      <c r="CZ17" s="1561"/>
      <c r="DA17" s="1561"/>
      <c r="DB17" s="1561"/>
      <c r="DC17" s="1561"/>
      <c r="DD17" s="1561"/>
      <c r="DE17" s="5155"/>
      <c r="DM17" s="1081">
        <v>0</v>
      </c>
    </row>
    <row r="18" spans="1:117" ht="14.25" hidden="1" customHeight="1">
      <c r="AD18" s="1286"/>
      <c r="AE18" s="1286"/>
      <c r="AF18" s="1286"/>
      <c r="AG18" s="265" t="str">
        <f>AH17&amp;"-"&amp;AJ17</f>
        <v>-</v>
      </c>
      <c r="AH18" s="5377"/>
      <c r="AI18" s="5377"/>
      <c r="AJ18" s="5377"/>
      <c r="AK18" s="5377"/>
      <c r="AL18" s="1561"/>
      <c r="AM18" s="1561"/>
      <c r="AN18" s="1561"/>
      <c r="AO18" s="1561"/>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R18" s="1561"/>
      <c r="BS18" s="1561"/>
      <c r="BT18" s="1561"/>
      <c r="BU18" s="1561"/>
      <c r="BV18" s="1561"/>
      <c r="BW18" s="1561"/>
      <c r="BX18" s="1561"/>
      <c r="BY18" s="1561"/>
      <c r="BZ18" s="1561"/>
      <c r="CA18" s="1561"/>
      <c r="CB18" s="1561"/>
      <c r="CC18" s="1561"/>
      <c r="CD18" s="1561"/>
      <c r="CE18" s="1561"/>
      <c r="CF18" s="1561"/>
      <c r="CG18" s="1561"/>
      <c r="CH18" s="1561"/>
      <c r="CI18" s="1561"/>
      <c r="CJ18" s="1561"/>
      <c r="CK18" s="1561"/>
      <c r="CL18" s="1561"/>
      <c r="CM18" s="1561"/>
      <c r="CN18" s="1561"/>
      <c r="CO18" s="1561"/>
      <c r="CP18" s="1561"/>
      <c r="CQ18" s="1561"/>
      <c r="CR18" s="1561"/>
      <c r="CS18" s="1561"/>
      <c r="CT18" s="1561"/>
      <c r="CU18" s="1561"/>
      <c r="CV18" s="1561"/>
      <c r="CW18" s="1561"/>
      <c r="CX18" s="1561"/>
      <c r="CY18" s="1561"/>
      <c r="CZ18" s="1561"/>
      <c r="DA18" s="1561"/>
      <c r="DB18" s="1561"/>
      <c r="DC18" s="1561"/>
      <c r="DD18" s="1561"/>
      <c r="DE18" s="5155"/>
      <c r="DM18" s="1081">
        <v>0</v>
      </c>
    </row>
    <row r="19" spans="1:117" ht="14.25" hidden="1" customHeight="1">
      <c r="AK19" s="264"/>
      <c r="AL19" s="1561"/>
      <c r="AM19" s="1561"/>
      <c r="AN19" s="1561"/>
      <c r="AO19" s="1561"/>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R19" s="1561"/>
      <c r="BS19" s="1561"/>
      <c r="BT19" s="1561"/>
      <c r="BU19" s="1561"/>
      <c r="BV19" s="1561"/>
      <c r="BW19" s="1561"/>
      <c r="BX19" s="1561"/>
      <c r="BY19" s="1561"/>
      <c r="BZ19" s="1561"/>
      <c r="CA19" s="1561"/>
      <c r="CB19" s="1561"/>
      <c r="CC19" s="1561"/>
      <c r="CD19" s="1561"/>
      <c r="CE19" s="1561"/>
      <c r="CF19" s="1561"/>
      <c r="CG19" s="1561"/>
      <c r="CH19" s="1561"/>
      <c r="CI19" s="1561"/>
      <c r="CJ19" s="1561"/>
      <c r="CK19" s="1561"/>
      <c r="CL19" s="1561"/>
      <c r="CM19" s="1561"/>
      <c r="CN19" s="1561"/>
      <c r="CO19" s="1561"/>
      <c r="CP19" s="1561"/>
      <c r="CQ19" s="1561"/>
      <c r="CR19" s="1561"/>
      <c r="CS19" s="1561"/>
      <c r="CT19" s="1561"/>
      <c r="CU19" s="1561"/>
      <c r="CV19" s="1561"/>
      <c r="CW19" s="1561"/>
      <c r="CX19" s="1561"/>
      <c r="CY19" s="1561"/>
      <c r="CZ19" s="1561"/>
      <c r="DA19" s="1561"/>
      <c r="DB19" s="1561"/>
      <c r="DC19" s="1561"/>
      <c r="DD19" s="1561"/>
      <c r="DE19" s="5155"/>
      <c r="DM19" s="1081">
        <v>0</v>
      </c>
    </row>
    <row r="20" spans="1:117" s="1292" customFormat="1" ht="22.5" hidden="1" customHeight="1">
      <c r="L20" s="1255"/>
      <c r="M20" s="1288"/>
      <c r="N20" s="1288"/>
      <c r="O20" s="1293" t="s">
        <v>441</v>
      </c>
      <c r="P20" s="1288"/>
      <c r="Q20" s="1297"/>
      <c r="R20" s="1297"/>
      <c r="S20" s="665"/>
      <c r="Z20" s="1293"/>
      <c r="AB20" s="1293"/>
      <c r="AH20" s="1293"/>
      <c r="AJ20" s="1293"/>
      <c r="AP20" s="1293"/>
      <c r="AR20" s="1293"/>
      <c r="AX20" s="1293"/>
      <c r="AZ20" s="1293"/>
      <c r="BF20" s="1293"/>
      <c r="BH20" s="1293"/>
      <c r="BN20" s="1293"/>
      <c r="BP20" s="1293"/>
      <c r="BV20" s="1293"/>
      <c r="BX20" s="1293"/>
      <c r="CD20" s="1293"/>
      <c r="CF20" s="1293"/>
      <c r="CL20" s="1293"/>
      <c r="CN20" s="1293"/>
      <c r="CT20" s="1293"/>
      <c r="CV20" s="1293"/>
      <c r="DB20" s="1293"/>
      <c r="DD20" s="1293"/>
      <c r="DE20" s="5161"/>
      <c r="DH20" s="447"/>
      <c r="DI20" s="447"/>
      <c r="DJ20" s="447"/>
      <c r="DK20" s="447"/>
      <c r="DL20" s="447"/>
      <c r="DM20" s="1086">
        <v>0</v>
      </c>
    </row>
    <row r="21" spans="1:117" s="1292" customFormat="1" ht="14.25" hidden="1" customHeight="1">
      <c r="L21" s="1255"/>
      <c r="M21" s="1288"/>
      <c r="N21" s="1288"/>
      <c r="O21" s="1288"/>
      <c r="P21" s="1288"/>
      <c r="Q21" s="1297"/>
      <c r="R21" s="1297"/>
      <c r="S21" s="665"/>
      <c r="DE21" s="5161"/>
      <c r="DH21" s="447"/>
      <c r="DI21" s="447"/>
      <c r="DJ21" s="447"/>
      <c r="DK21" s="447"/>
      <c r="DL21" s="447"/>
      <c r="DM21" s="1086">
        <v>0</v>
      </c>
    </row>
    <row r="22" spans="1:117" s="1292" customFormat="1" ht="33.75" hidden="1" customHeight="1">
      <c r="L22" s="1255"/>
      <c r="M22" s="1288"/>
      <c r="N22" s="1288"/>
      <c r="O22" s="1290" t="s">
        <v>442</v>
      </c>
      <c r="P22" s="1288"/>
      <c r="Q22" s="1297"/>
      <c r="R22" s="1297"/>
      <c r="S22" s="665"/>
      <c r="T22" s="1086" t="s">
        <v>443</v>
      </c>
      <c r="AA22" s="124" t="s">
        <v>444</v>
      </c>
      <c r="AC22" s="124" t="s">
        <v>445</v>
      </c>
      <c r="AD22" s="1086" t="s">
        <v>443</v>
      </c>
      <c r="AI22" s="124" t="s">
        <v>446</v>
      </c>
      <c r="AK22" s="124" t="s">
        <v>445</v>
      </c>
      <c r="AQ22" s="1296" t="s">
        <v>444</v>
      </c>
      <c r="AS22" s="1296" t="s">
        <v>445</v>
      </c>
      <c r="AY22" s="1296" t="s">
        <v>444</v>
      </c>
      <c r="BA22" s="1296" t="s">
        <v>445</v>
      </c>
      <c r="BG22" s="1296" t="s">
        <v>444</v>
      </c>
      <c r="BI22" s="1296" t="s">
        <v>445</v>
      </c>
      <c r="BO22" s="1296" t="s">
        <v>444</v>
      </c>
      <c r="BQ22" s="1296" t="s">
        <v>445</v>
      </c>
      <c r="BW22" s="1296" t="s">
        <v>444</v>
      </c>
      <c r="BY22" s="1296" t="s">
        <v>445</v>
      </c>
      <c r="CE22" s="1296" t="s">
        <v>444</v>
      </c>
      <c r="CG22" s="1296" t="s">
        <v>445</v>
      </c>
      <c r="CM22" s="1296" t="s">
        <v>444</v>
      </c>
      <c r="CO22" s="1296" t="s">
        <v>445</v>
      </c>
      <c r="CU22" s="1296" t="s">
        <v>444</v>
      </c>
      <c r="CW22" s="1296" t="s">
        <v>445</v>
      </c>
      <c r="DC22" s="1296" t="s">
        <v>444</v>
      </c>
      <c r="DE22" s="5162" t="s">
        <v>445</v>
      </c>
      <c r="DH22" s="447"/>
      <c r="DI22" s="447"/>
      <c r="DJ22" s="447"/>
      <c r="DK22" s="447"/>
      <c r="DL22" s="447"/>
      <c r="DM22" s="1086">
        <v>0</v>
      </c>
    </row>
    <row r="23" spans="1:117" ht="14.25" hidden="1" customHeight="1">
      <c r="O23" s="1290"/>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BZ23" s="1561"/>
      <c r="CA23" s="1561"/>
      <c r="CB23" s="1561"/>
      <c r="CC23" s="1561"/>
      <c r="CD23" s="1561"/>
      <c r="CE23" s="1561"/>
      <c r="CF23" s="1561"/>
      <c r="CG23" s="1561"/>
      <c r="CH23" s="1561"/>
      <c r="CI23" s="1561"/>
      <c r="CJ23" s="1561"/>
      <c r="CK23" s="1561"/>
      <c r="CL23" s="1561"/>
      <c r="CM23" s="1561"/>
      <c r="CN23" s="1561"/>
      <c r="CO23" s="1561"/>
      <c r="CP23" s="1561"/>
      <c r="CQ23" s="1561"/>
      <c r="CR23" s="1561"/>
      <c r="CS23" s="1561"/>
      <c r="CT23" s="1561"/>
      <c r="CU23" s="1561"/>
      <c r="CV23" s="1561"/>
      <c r="CW23" s="1561"/>
      <c r="CX23" s="1561"/>
      <c r="CY23" s="1561"/>
      <c r="CZ23" s="1561"/>
      <c r="DA23" s="1561"/>
      <c r="DB23" s="1561"/>
      <c r="DC23" s="1561"/>
      <c r="DD23" s="1561"/>
      <c r="DE23" s="5155"/>
      <c r="DM23" s="1081">
        <v>0</v>
      </c>
    </row>
    <row r="24" spans="1:117" ht="14.25" hidden="1" customHeight="1">
      <c r="O24" s="1290"/>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561"/>
      <c r="BN24" s="1561"/>
      <c r="BO24" s="1561"/>
      <c r="BP24" s="1561"/>
      <c r="BQ24" s="1561"/>
      <c r="BR24" s="1561"/>
      <c r="BS24" s="1561"/>
      <c r="BT24" s="1561"/>
      <c r="BU24" s="1561"/>
      <c r="BV24" s="1561"/>
      <c r="BW24" s="1561"/>
      <c r="BX24" s="1561"/>
      <c r="BY24" s="1561"/>
      <c r="BZ24" s="1561"/>
      <c r="CA24" s="1561"/>
      <c r="CB24" s="1561"/>
      <c r="CC24" s="1561"/>
      <c r="CD24" s="1561"/>
      <c r="CE24" s="1561"/>
      <c r="CF24" s="1561"/>
      <c r="CG24" s="1561"/>
      <c r="CH24" s="1561"/>
      <c r="CI24" s="1561"/>
      <c r="CJ24" s="1561"/>
      <c r="CK24" s="1561"/>
      <c r="CL24" s="1561"/>
      <c r="CM24" s="1561"/>
      <c r="CN24" s="1561"/>
      <c r="CO24" s="1561"/>
      <c r="CP24" s="1561"/>
      <c r="CQ24" s="1561"/>
      <c r="CR24" s="1561"/>
      <c r="CS24" s="1561"/>
      <c r="CT24" s="1561"/>
      <c r="CU24" s="1561"/>
      <c r="CV24" s="1561"/>
      <c r="CW24" s="1561"/>
      <c r="CX24" s="1561"/>
      <c r="CY24" s="1561"/>
      <c r="CZ24" s="1561"/>
      <c r="DA24" s="1561"/>
      <c r="DB24" s="1561"/>
      <c r="DC24" s="1561"/>
      <c r="DD24" s="1561"/>
      <c r="DE24" s="5155"/>
      <c r="DM24" s="1081">
        <v>0</v>
      </c>
    </row>
    <row r="25" spans="1:117"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AT25" s="1561"/>
      <c r="AU25" s="1561"/>
      <c r="AV25" s="1561"/>
      <c r="AW25" s="1561"/>
      <c r="AX25" s="1561"/>
      <c r="AY25" s="1561"/>
      <c r="AZ25" s="1561"/>
      <c r="BA25" s="1561"/>
      <c r="BB25" s="1561"/>
      <c r="BC25" s="1561"/>
      <c r="BD25" s="1561"/>
      <c r="BE25" s="1561"/>
      <c r="BF25" s="1561"/>
      <c r="BG25" s="1561"/>
      <c r="BH25" s="1561"/>
      <c r="BI25" s="1561"/>
      <c r="BJ25" s="1561"/>
      <c r="BK25" s="1561"/>
      <c r="BL25" s="1561"/>
      <c r="BM25" s="1561"/>
      <c r="BN25" s="1561"/>
      <c r="BO25" s="1561"/>
      <c r="BP25" s="1561"/>
      <c r="BQ25" s="1561"/>
      <c r="BR25" s="1561"/>
      <c r="BS25" s="1561"/>
      <c r="BT25" s="1561"/>
      <c r="BU25" s="1561"/>
      <c r="BV25" s="1561"/>
      <c r="BW25" s="1561"/>
      <c r="BX25" s="1561"/>
      <c r="BY25" s="1561"/>
      <c r="BZ25" s="1561"/>
      <c r="CA25" s="1561"/>
      <c r="CB25" s="1561"/>
      <c r="CC25" s="1561"/>
      <c r="CD25" s="1561"/>
      <c r="CE25" s="1561"/>
      <c r="CF25" s="1561"/>
      <c r="CG25" s="1561"/>
      <c r="CH25" s="1561"/>
      <c r="CI25" s="1561"/>
      <c r="CJ25" s="1561"/>
      <c r="CK25" s="1561"/>
      <c r="CL25" s="1561"/>
      <c r="CM25" s="1561"/>
      <c r="CN25" s="1561"/>
      <c r="CO25" s="1561"/>
      <c r="CP25" s="1561"/>
      <c r="CQ25" s="1561"/>
      <c r="CR25" s="1561"/>
      <c r="CS25" s="1561"/>
      <c r="CT25" s="1561"/>
      <c r="CU25" s="1561"/>
      <c r="CV25" s="1561"/>
      <c r="CW25" s="1561"/>
      <c r="CX25" s="1561"/>
      <c r="CY25" s="1561"/>
      <c r="CZ25" s="1561"/>
      <c r="DA25" s="1561"/>
      <c r="DB25" s="1561"/>
      <c r="DC25" s="1561"/>
      <c r="DD25" s="1561"/>
      <c r="DE25" s="5155"/>
      <c r="DM25" s="1081">
        <v>14</v>
      </c>
    </row>
    <row r="26" spans="1:117" ht="29.25" customHeight="1">
      <c r="Q26" s="312"/>
      <c r="R26" s="312"/>
      <c r="S26" s="535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359"/>
      <c r="U26" s="5359"/>
      <c r="V26" s="5359"/>
      <c r="W26" s="5359"/>
      <c r="X26" s="5359"/>
      <c r="Y26" s="5359"/>
      <c r="Z26" s="5359"/>
      <c r="AA26" s="5359"/>
      <c r="AB26" s="5359"/>
      <c r="AC26" s="5359"/>
      <c r="AD26" s="5359"/>
      <c r="AE26" s="5359"/>
      <c r="AF26" s="5359"/>
      <c r="AG26" s="5359"/>
      <c r="AH26" s="5359"/>
      <c r="AI26" s="5359"/>
      <c r="AJ26" s="5359"/>
      <c r="AK26" s="1169"/>
      <c r="AL26" s="2008"/>
      <c r="AM26" s="2008"/>
      <c r="AN26" s="2008"/>
      <c r="AO26" s="2008"/>
      <c r="AP26" s="2008"/>
      <c r="AQ26" s="2008"/>
      <c r="AR26" s="2008"/>
      <c r="AS26" s="2008"/>
      <c r="AT26" s="2008"/>
      <c r="AU26" s="2008"/>
      <c r="AV26" s="2008"/>
      <c r="AW26" s="2008"/>
      <c r="AX26" s="2008"/>
      <c r="AY26" s="2008"/>
      <c r="AZ26" s="2008"/>
      <c r="BA26" s="2008"/>
      <c r="BB26" s="2008"/>
      <c r="BC26" s="2008"/>
      <c r="BD26" s="2008"/>
      <c r="BE26" s="2008"/>
      <c r="BF26" s="2008"/>
      <c r="BG26" s="2008"/>
      <c r="BH26" s="2008"/>
      <c r="BI26" s="2008"/>
      <c r="BJ26" s="2008"/>
      <c r="BK26" s="2008"/>
      <c r="BL26" s="2008"/>
      <c r="BM26" s="2008"/>
      <c r="BN26" s="2008"/>
      <c r="BO26" s="2008"/>
      <c r="BP26" s="2008"/>
      <c r="BQ26" s="2008"/>
      <c r="BR26" s="2008"/>
      <c r="BS26" s="2008"/>
      <c r="BT26" s="2008"/>
      <c r="BU26" s="2008"/>
      <c r="BV26" s="2008"/>
      <c r="BW26" s="2008"/>
      <c r="BX26" s="2008"/>
      <c r="BY26" s="2008"/>
      <c r="BZ26" s="2008"/>
      <c r="CA26" s="2008"/>
      <c r="CB26" s="2008"/>
      <c r="CC26" s="2008"/>
      <c r="CD26" s="2008"/>
      <c r="CE26" s="2008"/>
      <c r="CF26" s="2008"/>
      <c r="CG26" s="2008"/>
      <c r="CH26" s="2008"/>
      <c r="CI26" s="2008"/>
      <c r="CJ26" s="2008"/>
      <c r="CK26" s="2008"/>
      <c r="CL26" s="2008"/>
      <c r="CM26" s="2008"/>
      <c r="CN26" s="2008"/>
      <c r="CO26" s="2008"/>
      <c r="CP26" s="2008"/>
      <c r="CQ26" s="2008"/>
      <c r="CR26" s="2008"/>
      <c r="CS26" s="2008"/>
      <c r="CT26" s="2008"/>
      <c r="CU26" s="2008"/>
      <c r="CV26" s="2008"/>
      <c r="CW26" s="2008"/>
      <c r="CX26" s="2008"/>
      <c r="CY26" s="2008"/>
      <c r="CZ26" s="2008"/>
      <c r="DA26" s="2008"/>
      <c r="DB26" s="2008"/>
      <c r="DC26" s="2008"/>
      <c r="DD26" s="2008"/>
      <c r="DE26" s="5163"/>
      <c r="DM26" s="1081">
        <v>28</v>
      </c>
    </row>
    <row r="27" spans="1:117" ht="14.65" customHeight="1">
      <c r="Q27" s="312"/>
      <c r="R27" s="312"/>
      <c r="S27" s="5331" t="str">
        <f>IF(org=0,"Не определено",org)</f>
        <v>ПАО "ТГК-1" филиал "Невский"</v>
      </c>
      <c r="T27" s="5331"/>
      <c r="U27" s="5331"/>
      <c r="V27" s="5331"/>
      <c r="W27" s="5331"/>
      <c r="X27" s="5331"/>
      <c r="Y27" s="5331"/>
      <c r="Z27" s="5331"/>
      <c r="AA27" s="5331"/>
      <c r="AB27" s="5331"/>
      <c r="AC27" s="5331"/>
      <c r="AD27" s="5331"/>
      <c r="AE27" s="5331"/>
      <c r="AF27" s="5331"/>
      <c r="AG27" s="5331"/>
      <c r="AH27" s="5331"/>
      <c r="AI27" s="5331"/>
      <c r="AJ27" s="5331"/>
      <c r="AK27" s="1169"/>
      <c r="AL27" s="2009"/>
      <c r="AM27" s="2009"/>
      <c r="AN27" s="2009"/>
      <c r="AO27" s="2009"/>
      <c r="AP27" s="2009"/>
      <c r="AQ27" s="2009"/>
      <c r="AR27" s="2009"/>
      <c r="AS27" s="2009"/>
      <c r="AT27" s="2009"/>
      <c r="AU27" s="2009"/>
      <c r="AV27" s="2009"/>
      <c r="AW27" s="2009"/>
      <c r="AX27" s="2009"/>
      <c r="AY27" s="2009"/>
      <c r="AZ27" s="2009"/>
      <c r="BA27" s="2009"/>
      <c r="BB27" s="2009"/>
      <c r="BC27" s="2009"/>
      <c r="BD27" s="2009"/>
      <c r="BE27" s="2009"/>
      <c r="BF27" s="2009"/>
      <c r="BG27" s="2009"/>
      <c r="BH27" s="2009"/>
      <c r="BI27" s="2009"/>
      <c r="BJ27" s="2009"/>
      <c r="BK27" s="2009"/>
      <c r="BL27" s="2009"/>
      <c r="BM27" s="2009"/>
      <c r="BN27" s="2009"/>
      <c r="BO27" s="2009"/>
      <c r="BP27" s="2009"/>
      <c r="BQ27" s="2009"/>
      <c r="BR27" s="2009"/>
      <c r="BS27" s="2009"/>
      <c r="BT27" s="2009"/>
      <c r="BU27" s="2009"/>
      <c r="BV27" s="2009"/>
      <c r="BW27" s="2009"/>
      <c r="BX27" s="2009"/>
      <c r="BY27" s="2009"/>
      <c r="BZ27" s="2009"/>
      <c r="CA27" s="2009"/>
      <c r="CB27" s="2009"/>
      <c r="CC27" s="2009"/>
      <c r="CD27" s="2009"/>
      <c r="CE27" s="2009"/>
      <c r="CF27" s="2009"/>
      <c r="CG27" s="2009"/>
      <c r="CH27" s="2009"/>
      <c r="CI27" s="2009"/>
      <c r="CJ27" s="2009"/>
      <c r="CK27" s="2009"/>
      <c r="CL27" s="2009"/>
      <c r="CM27" s="2009"/>
      <c r="CN27" s="2009"/>
      <c r="CO27" s="2009"/>
      <c r="CP27" s="2009"/>
      <c r="CQ27" s="2009"/>
      <c r="CR27" s="2009"/>
      <c r="CS27" s="2009"/>
      <c r="CT27" s="2009"/>
      <c r="CU27" s="2009"/>
      <c r="CV27" s="2009"/>
      <c r="CW27" s="2009"/>
      <c r="CX27" s="2009"/>
      <c r="CY27" s="2009"/>
      <c r="CZ27" s="2009"/>
      <c r="DA27" s="2009"/>
      <c r="DB27" s="2009"/>
      <c r="DC27" s="2009"/>
      <c r="DD27" s="2009"/>
      <c r="DE27" s="5164"/>
      <c r="DM27" s="1081">
        <v>14</v>
      </c>
    </row>
    <row r="28" spans="1:117"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59"/>
      <c r="CZ28" s="259"/>
      <c r="DA28" s="259"/>
      <c r="DB28" s="259"/>
      <c r="DC28" s="259"/>
      <c r="DD28" s="259"/>
      <c r="DE28" s="5165"/>
      <c r="DF28" s="445"/>
      <c r="DM28" s="1081">
        <v>0</v>
      </c>
    </row>
    <row r="29" spans="1:117" s="1777" customFormat="1" ht="25.5" customHeight="1">
      <c r="A29" s="1294"/>
      <c r="B29" s="1294"/>
      <c r="C29" s="1294"/>
      <c r="D29" s="1294"/>
      <c r="E29" s="1294"/>
      <c r="F29" s="1294"/>
      <c r="G29" s="1294"/>
      <c r="H29" s="1294"/>
      <c r="I29" s="1294"/>
      <c r="J29" s="1294"/>
      <c r="K29" s="1294"/>
      <c r="L29" s="1295"/>
      <c r="M29" s="1294"/>
      <c r="N29" s="1294"/>
      <c r="O29" s="1294"/>
      <c r="S29" s="5370" t="s">
        <v>42</v>
      </c>
      <c r="T29" s="5370"/>
      <c r="U29" s="1298"/>
      <c r="V29" s="5372" t="str">
        <f>IF(TITLE_NAME_OR_PR_CHANGE="",IF(TITLE_NAME_OR_PR="","",TITLE_NAME_OR_PR),TITLE_NAME_OR_PR_CHANGE)</f>
        <v>Комитет по тарифам Санкт-Петербурга</v>
      </c>
      <c r="W29" s="5372"/>
      <c r="X29" s="5372"/>
      <c r="Y29" s="5372"/>
      <c r="Z29" s="5372"/>
      <c r="AA29" s="5372"/>
      <c r="AB29" s="5372"/>
      <c r="AC29" s="263"/>
      <c r="AD29" s="5372" t="str">
        <f>IF(TITLE_NAME_OR_PR_CHANGE="",IF(TITLE_NAME_OR_PR="","",TITLE_NAME_OR_PR),TITLE_NAME_OR_PR_CHANGE)</f>
        <v>Комитет по тарифам Санкт-Петербурга</v>
      </c>
      <c r="AE29" s="5372"/>
      <c r="AF29" s="5372"/>
      <c r="AG29" s="5372"/>
      <c r="AH29" s="5372"/>
      <c r="AI29" s="5372"/>
      <c r="AJ29" s="5372"/>
      <c r="AK29" s="263"/>
      <c r="AL29" s="5372" t="str">
        <f>IF(TITLE_NAME_OR_PR_CHANGE="",IF(TITLE_NAME_OR_PR="","",TITLE_NAME_OR_PR),TITLE_NAME_OR_PR_CHANGE)</f>
        <v>Комитет по тарифам Санкт-Петербурга</v>
      </c>
      <c r="AM29" s="5372"/>
      <c r="AN29" s="5372"/>
      <c r="AO29" s="5372"/>
      <c r="AP29" s="5372"/>
      <c r="AQ29" s="5372"/>
      <c r="AR29" s="5372"/>
      <c r="AS29" s="1561"/>
      <c r="AT29" s="5372" t="str">
        <f>IF(TITLE_NAME_OR_PR_CHANGE="",IF(TITLE_NAME_OR_PR="","",TITLE_NAME_OR_PR),TITLE_NAME_OR_PR_CHANGE)</f>
        <v>Комитет по тарифам Санкт-Петербурга</v>
      </c>
      <c r="AU29" s="5372"/>
      <c r="AV29" s="5372"/>
      <c r="AW29" s="5372"/>
      <c r="AX29" s="5372"/>
      <c r="AY29" s="5372"/>
      <c r="AZ29" s="5372"/>
      <c r="BA29" s="1561"/>
      <c r="BB29" s="5372" t="str">
        <f>IF(TITLE_NAME_OR_PR_CHANGE="",IF(TITLE_NAME_OR_PR="","",TITLE_NAME_OR_PR),TITLE_NAME_OR_PR_CHANGE)</f>
        <v>Комитет по тарифам Санкт-Петербурга</v>
      </c>
      <c r="BC29" s="5372"/>
      <c r="BD29" s="5372"/>
      <c r="BE29" s="5372"/>
      <c r="BF29" s="5372"/>
      <c r="BG29" s="5372"/>
      <c r="BH29" s="5372"/>
      <c r="BI29" s="1561"/>
      <c r="BJ29" s="5372" t="str">
        <f>IF(TITLE_NAME_OR_PR_CHANGE="",IF(TITLE_NAME_OR_PR="","",TITLE_NAME_OR_PR),TITLE_NAME_OR_PR_CHANGE)</f>
        <v>Комитет по тарифам Санкт-Петербурга</v>
      </c>
      <c r="BK29" s="5372"/>
      <c r="BL29" s="5372"/>
      <c r="BM29" s="5372"/>
      <c r="BN29" s="5372"/>
      <c r="BO29" s="5372"/>
      <c r="BP29" s="5372"/>
      <c r="BQ29" s="1561"/>
      <c r="BR29" s="5372" t="str">
        <f>IF(TITLE_NAME_OR_PR_CHANGE="",IF(TITLE_NAME_OR_PR="","",TITLE_NAME_OR_PR),TITLE_NAME_OR_PR_CHANGE)</f>
        <v>Комитет по тарифам Санкт-Петербурга</v>
      </c>
      <c r="BS29" s="5372"/>
      <c r="BT29" s="5372"/>
      <c r="BU29" s="5372"/>
      <c r="BV29" s="5372"/>
      <c r="BW29" s="5372"/>
      <c r="BX29" s="5372"/>
      <c r="BY29" s="1561"/>
      <c r="BZ29" s="5372" t="str">
        <f>IF(TITLE_NAME_OR_PR_CHANGE="",IF(TITLE_NAME_OR_PR="","",TITLE_NAME_OR_PR),TITLE_NAME_OR_PR_CHANGE)</f>
        <v>Комитет по тарифам Санкт-Петербурга</v>
      </c>
      <c r="CA29" s="5372"/>
      <c r="CB29" s="5372"/>
      <c r="CC29" s="5372"/>
      <c r="CD29" s="5372"/>
      <c r="CE29" s="5372"/>
      <c r="CF29" s="5372"/>
      <c r="CG29" s="1561"/>
      <c r="CH29" s="5372" t="str">
        <f>IF(TITLE_NAME_OR_PR_CHANGE="",IF(TITLE_NAME_OR_PR="","",TITLE_NAME_OR_PR),TITLE_NAME_OR_PR_CHANGE)</f>
        <v>Комитет по тарифам Санкт-Петербурга</v>
      </c>
      <c r="CI29" s="5372"/>
      <c r="CJ29" s="5372"/>
      <c r="CK29" s="5372"/>
      <c r="CL29" s="5372"/>
      <c r="CM29" s="5372"/>
      <c r="CN29" s="5372"/>
      <c r="CO29" s="1561"/>
      <c r="CP29" s="5372" t="str">
        <f>IF(TITLE_NAME_OR_PR_CHANGE="",IF(TITLE_NAME_OR_PR="","",TITLE_NAME_OR_PR),TITLE_NAME_OR_PR_CHANGE)</f>
        <v>Комитет по тарифам Санкт-Петербурга</v>
      </c>
      <c r="CQ29" s="5372"/>
      <c r="CR29" s="5372"/>
      <c r="CS29" s="5372"/>
      <c r="CT29" s="5372"/>
      <c r="CU29" s="5372"/>
      <c r="CV29" s="5372"/>
      <c r="CW29" s="1561"/>
      <c r="CX29" s="5372" t="str">
        <f>IF(TITLE_NAME_OR_PR_CHANGE="",IF(TITLE_NAME_OR_PR="","",TITLE_NAME_OR_PR),TITLE_NAME_OR_PR_CHANGE)</f>
        <v>Комитет по тарифам Санкт-Петербурга</v>
      </c>
      <c r="CY29" s="5372"/>
      <c r="CZ29" s="5372"/>
      <c r="DA29" s="5372"/>
      <c r="DB29" s="5372"/>
      <c r="DC29" s="5372"/>
      <c r="DD29" s="5372"/>
      <c r="DE29" s="5155"/>
      <c r="DF29" s="263"/>
      <c r="DG29" s="217"/>
      <c r="DH29" s="304"/>
      <c r="DI29" s="304"/>
      <c r="DJ29" s="304"/>
      <c r="DK29" s="304"/>
      <c r="DL29" s="304"/>
      <c r="DM29" s="354">
        <v>0</v>
      </c>
    </row>
    <row r="30" spans="1:117" s="1777" customFormat="1" ht="18.75" customHeight="1">
      <c r="A30" s="1294"/>
      <c r="B30" s="1294"/>
      <c r="C30" s="1294"/>
      <c r="D30" s="1294"/>
      <c r="E30" s="1294"/>
      <c r="F30" s="1294"/>
      <c r="G30" s="1294"/>
      <c r="H30" s="1294"/>
      <c r="I30" s="1294"/>
      <c r="J30" s="1294"/>
      <c r="K30" s="1294"/>
      <c r="L30" s="1295"/>
      <c r="M30" s="1294"/>
      <c r="N30" s="1294"/>
      <c r="O30" s="1294"/>
      <c r="S30" s="5370" t="s">
        <v>447</v>
      </c>
      <c r="T30" s="5370"/>
      <c r="U30" s="1298"/>
      <c r="V30" s="5371">
        <f>IF(TITLE_DATE_PR_CHANGE="",IF(TITLE_DATE_PR="","",TITLE_DATE_PR),TITLE_DATE_PR_CHANGE)</f>
        <v>45470</v>
      </c>
      <c r="W30" s="5371"/>
      <c r="X30" s="5371"/>
      <c r="Y30" s="5371"/>
      <c r="Z30" s="5371"/>
      <c r="AA30" s="5371"/>
      <c r="AB30" s="5371"/>
      <c r="AC30" s="263"/>
      <c r="AD30" s="5371">
        <f>IF(TITLE_DATE_PR_CHANGE="",IF(TITLE_DATE_PR="","",TITLE_DATE_PR),TITLE_DATE_PR_CHANGE)</f>
        <v>45470</v>
      </c>
      <c r="AE30" s="5371"/>
      <c r="AF30" s="5371"/>
      <c r="AG30" s="5371"/>
      <c r="AH30" s="5371"/>
      <c r="AI30" s="5371"/>
      <c r="AJ30" s="5371"/>
      <c r="AK30" s="263"/>
      <c r="AL30" s="5371">
        <f>IF(TITLE_DATE_PR_CHANGE="",IF(TITLE_DATE_PR="","",TITLE_DATE_PR),TITLE_DATE_PR_CHANGE)</f>
        <v>45470</v>
      </c>
      <c r="AM30" s="5371"/>
      <c r="AN30" s="5371"/>
      <c r="AO30" s="5371"/>
      <c r="AP30" s="5371"/>
      <c r="AQ30" s="5371"/>
      <c r="AR30" s="5371"/>
      <c r="AS30" s="1561"/>
      <c r="AT30" s="5371">
        <f>IF(TITLE_DATE_PR_CHANGE="",IF(TITLE_DATE_PR="","",TITLE_DATE_PR),TITLE_DATE_PR_CHANGE)</f>
        <v>45470</v>
      </c>
      <c r="AU30" s="5371"/>
      <c r="AV30" s="5371"/>
      <c r="AW30" s="5371"/>
      <c r="AX30" s="5371"/>
      <c r="AY30" s="5371"/>
      <c r="AZ30" s="5371"/>
      <c r="BA30" s="1561"/>
      <c r="BB30" s="5371">
        <f>IF(TITLE_DATE_PR_CHANGE="",IF(TITLE_DATE_PR="","",TITLE_DATE_PR),TITLE_DATE_PR_CHANGE)</f>
        <v>45470</v>
      </c>
      <c r="BC30" s="5371"/>
      <c r="BD30" s="5371"/>
      <c r="BE30" s="5371"/>
      <c r="BF30" s="5371"/>
      <c r="BG30" s="5371"/>
      <c r="BH30" s="5371"/>
      <c r="BI30" s="1561"/>
      <c r="BJ30" s="5371">
        <f>IF(TITLE_DATE_PR_CHANGE="",IF(TITLE_DATE_PR="","",TITLE_DATE_PR),TITLE_DATE_PR_CHANGE)</f>
        <v>45470</v>
      </c>
      <c r="BK30" s="5371"/>
      <c r="BL30" s="5371"/>
      <c r="BM30" s="5371"/>
      <c r="BN30" s="5371"/>
      <c r="BO30" s="5371"/>
      <c r="BP30" s="5371"/>
      <c r="BQ30" s="1561"/>
      <c r="BR30" s="5371">
        <f>IF(TITLE_DATE_PR_CHANGE="",IF(TITLE_DATE_PR="","",TITLE_DATE_PR),TITLE_DATE_PR_CHANGE)</f>
        <v>45470</v>
      </c>
      <c r="BS30" s="5371"/>
      <c r="BT30" s="5371"/>
      <c r="BU30" s="5371"/>
      <c r="BV30" s="5371"/>
      <c r="BW30" s="5371"/>
      <c r="BX30" s="5371"/>
      <c r="BY30" s="1561"/>
      <c r="BZ30" s="5371">
        <f>IF(TITLE_DATE_PR_CHANGE="",IF(TITLE_DATE_PR="","",TITLE_DATE_PR),TITLE_DATE_PR_CHANGE)</f>
        <v>45470</v>
      </c>
      <c r="CA30" s="5371"/>
      <c r="CB30" s="5371"/>
      <c r="CC30" s="5371"/>
      <c r="CD30" s="5371"/>
      <c r="CE30" s="5371"/>
      <c r="CF30" s="5371"/>
      <c r="CG30" s="1561"/>
      <c r="CH30" s="5371">
        <f>IF(TITLE_DATE_PR_CHANGE="",IF(TITLE_DATE_PR="","",TITLE_DATE_PR),TITLE_DATE_PR_CHANGE)</f>
        <v>45470</v>
      </c>
      <c r="CI30" s="5371"/>
      <c r="CJ30" s="5371"/>
      <c r="CK30" s="5371"/>
      <c r="CL30" s="5371"/>
      <c r="CM30" s="5371"/>
      <c r="CN30" s="5371"/>
      <c r="CO30" s="1561"/>
      <c r="CP30" s="5371">
        <f>IF(TITLE_DATE_PR_CHANGE="",IF(TITLE_DATE_PR="","",TITLE_DATE_PR),TITLE_DATE_PR_CHANGE)</f>
        <v>45470</v>
      </c>
      <c r="CQ30" s="5371"/>
      <c r="CR30" s="5371"/>
      <c r="CS30" s="5371"/>
      <c r="CT30" s="5371"/>
      <c r="CU30" s="5371"/>
      <c r="CV30" s="5371"/>
      <c r="CW30" s="1561"/>
      <c r="CX30" s="5371">
        <f>IF(TITLE_DATE_PR_CHANGE="",IF(TITLE_DATE_PR="","",TITLE_DATE_PR),TITLE_DATE_PR_CHANGE)</f>
        <v>45470</v>
      </c>
      <c r="CY30" s="5371"/>
      <c r="CZ30" s="5371"/>
      <c r="DA30" s="5371"/>
      <c r="DB30" s="5371"/>
      <c r="DC30" s="5371"/>
      <c r="DD30" s="5371"/>
      <c r="DE30" s="5155"/>
      <c r="DF30" s="263"/>
      <c r="DG30" s="217"/>
      <c r="DH30" s="304"/>
      <c r="DI30" s="304"/>
      <c r="DJ30" s="304"/>
      <c r="DK30" s="304"/>
      <c r="DL30" s="304"/>
      <c r="DM30" s="354">
        <v>0</v>
      </c>
    </row>
    <row r="31" spans="1:117" s="1777" customFormat="1" ht="18.75" customHeight="1">
      <c r="A31" s="1294"/>
      <c r="B31" s="1294"/>
      <c r="C31" s="1294"/>
      <c r="D31" s="1294"/>
      <c r="E31" s="1294"/>
      <c r="F31" s="1294"/>
      <c r="G31" s="1294"/>
      <c r="H31" s="1294"/>
      <c r="I31" s="1294"/>
      <c r="J31" s="1294"/>
      <c r="K31" s="1294"/>
      <c r="L31" s="1295"/>
      <c r="M31" s="1294"/>
      <c r="N31" s="1294"/>
      <c r="O31" s="1294"/>
      <c r="S31" s="5370" t="s">
        <v>448</v>
      </c>
      <c r="T31" s="5370"/>
      <c r="U31" s="1298"/>
      <c r="V31" s="5372" t="str">
        <f>IF(TITLE_NUMBER_PR_CHANGE="",IF(TITLE_NUMBER_PR="","",TITLE_NUMBER_PR),TITLE_NUMBER_PR_CHANGE)</f>
        <v>94-р</v>
      </c>
      <c r="W31" s="5372"/>
      <c r="X31" s="5372"/>
      <c r="Y31" s="5372"/>
      <c r="Z31" s="5372"/>
      <c r="AA31" s="5372"/>
      <c r="AB31" s="5372"/>
      <c r="AC31" s="263"/>
      <c r="AD31" s="5372" t="str">
        <f>IF(TITLE_NUMBER_PR_CHANGE="",IF(TITLE_NUMBER_PR="","",TITLE_NUMBER_PR),TITLE_NUMBER_PR_CHANGE)</f>
        <v>94-р</v>
      </c>
      <c r="AE31" s="5372"/>
      <c r="AF31" s="5372"/>
      <c r="AG31" s="5372"/>
      <c r="AH31" s="5372"/>
      <c r="AI31" s="5372"/>
      <c r="AJ31" s="5372"/>
      <c r="AK31" s="263"/>
      <c r="AL31" s="5372" t="str">
        <f>IF(TITLE_NUMBER_PR_CHANGE="",IF(TITLE_NUMBER_PR="","",TITLE_NUMBER_PR),TITLE_NUMBER_PR_CHANGE)</f>
        <v>94-р</v>
      </c>
      <c r="AM31" s="5372"/>
      <c r="AN31" s="5372"/>
      <c r="AO31" s="5372"/>
      <c r="AP31" s="5372"/>
      <c r="AQ31" s="5372"/>
      <c r="AR31" s="5372"/>
      <c r="AS31" s="1561"/>
      <c r="AT31" s="5372" t="str">
        <f>IF(TITLE_NUMBER_PR_CHANGE="",IF(TITLE_NUMBER_PR="","",TITLE_NUMBER_PR),TITLE_NUMBER_PR_CHANGE)</f>
        <v>94-р</v>
      </c>
      <c r="AU31" s="5372"/>
      <c r="AV31" s="5372"/>
      <c r="AW31" s="5372"/>
      <c r="AX31" s="5372"/>
      <c r="AY31" s="5372"/>
      <c r="AZ31" s="5372"/>
      <c r="BA31" s="1561"/>
      <c r="BB31" s="5372" t="str">
        <f>IF(TITLE_NUMBER_PR_CHANGE="",IF(TITLE_NUMBER_PR="","",TITLE_NUMBER_PR),TITLE_NUMBER_PR_CHANGE)</f>
        <v>94-р</v>
      </c>
      <c r="BC31" s="5372"/>
      <c r="BD31" s="5372"/>
      <c r="BE31" s="5372"/>
      <c r="BF31" s="5372"/>
      <c r="BG31" s="5372"/>
      <c r="BH31" s="5372"/>
      <c r="BI31" s="1561"/>
      <c r="BJ31" s="5372" t="str">
        <f>IF(TITLE_NUMBER_PR_CHANGE="",IF(TITLE_NUMBER_PR="","",TITLE_NUMBER_PR),TITLE_NUMBER_PR_CHANGE)</f>
        <v>94-р</v>
      </c>
      <c r="BK31" s="5372"/>
      <c r="BL31" s="5372"/>
      <c r="BM31" s="5372"/>
      <c r="BN31" s="5372"/>
      <c r="BO31" s="5372"/>
      <c r="BP31" s="5372"/>
      <c r="BQ31" s="1561"/>
      <c r="BR31" s="5372" t="str">
        <f>IF(TITLE_NUMBER_PR_CHANGE="",IF(TITLE_NUMBER_PR="","",TITLE_NUMBER_PR),TITLE_NUMBER_PR_CHANGE)</f>
        <v>94-р</v>
      </c>
      <c r="BS31" s="5372"/>
      <c r="BT31" s="5372"/>
      <c r="BU31" s="5372"/>
      <c r="BV31" s="5372"/>
      <c r="BW31" s="5372"/>
      <c r="BX31" s="5372"/>
      <c r="BY31" s="1561"/>
      <c r="BZ31" s="5372" t="str">
        <f>IF(TITLE_NUMBER_PR_CHANGE="",IF(TITLE_NUMBER_PR="","",TITLE_NUMBER_PR),TITLE_NUMBER_PR_CHANGE)</f>
        <v>94-р</v>
      </c>
      <c r="CA31" s="5372"/>
      <c r="CB31" s="5372"/>
      <c r="CC31" s="5372"/>
      <c r="CD31" s="5372"/>
      <c r="CE31" s="5372"/>
      <c r="CF31" s="5372"/>
      <c r="CG31" s="1561"/>
      <c r="CH31" s="5372" t="str">
        <f>IF(TITLE_NUMBER_PR_CHANGE="",IF(TITLE_NUMBER_PR="","",TITLE_NUMBER_PR),TITLE_NUMBER_PR_CHANGE)</f>
        <v>94-р</v>
      </c>
      <c r="CI31" s="5372"/>
      <c r="CJ31" s="5372"/>
      <c r="CK31" s="5372"/>
      <c r="CL31" s="5372"/>
      <c r="CM31" s="5372"/>
      <c r="CN31" s="5372"/>
      <c r="CO31" s="1561"/>
      <c r="CP31" s="5372" t="str">
        <f>IF(TITLE_NUMBER_PR_CHANGE="",IF(TITLE_NUMBER_PR="","",TITLE_NUMBER_PR),TITLE_NUMBER_PR_CHANGE)</f>
        <v>94-р</v>
      </c>
      <c r="CQ31" s="5372"/>
      <c r="CR31" s="5372"/>
      <c r="CS31" s="5372"/>
      <c r="CT31" s="5372"/>
      <c r="CU31" s="5372"/>
      <c r="CV31" s="5372"/>
      <c r="CW31" s="1561"/>
      <c r="CX31" s="5372" t="str">
        <f>IF(TITLE_NUMBER_PR_CHANGE="",IF(TITLE_NUMBER_PR="","",TITLE_NUMBER_PR),TITLE_NUMBER_PR_CHANGE)</f>
        <v>94-р</v>
      </c>
      <c r="CY31" s="5372"/>
      <c r="CZ31" s="5372"/>
      <c r="DA31" s="5372"/>
      <c r="DB31" s="5372"/>
      <c r="DC31" s="5372"/>
      <c r="DD31" s="5372"/>
      <c r="DE31" s="5155"/>
      <c r="DF31" s="263"/>
      <c r="DG31" s="217"/>
      <c r="DH31" s="304"/>
      <c r="DI31" s="304"/>
      <c r="DJ31" s="304"/>
      <c r="DK31" s="304"/>
      <c r="DL31" s="304"/>
      <c r="DM31" s="354">
        <v>0</v>
      </c>
    </row>
    <row r="32" spans="1:117" s="1777" customFormat="1" ht="18.75" customHeight="1">
      <c r="A32" s="1294"/>
      <c r="B32" s="1294"/>
      <c r="C32" s="1294"/>
      <c r="D32" s="1294"/>
      <c r="E32" s="1294"/>
      <c r="F32" s="1294"/>
      <c r="G32" s="1294"/>
      <c r="H32" s="1294"/>
      <c r="I32" s="1294"/>
      <c r="J32" s="1294"/>
      <c r="K32" s="1294"/>
      <c r="L32" s="1295"/>
      <c r="M32" s="1294"/>
      <c r="N32" s="1294"/>
      <c r="O32" s="1294"/>
      <c r="S32" s="5370" t="s">
        <v>44</v>
      </c>
      <c r="T32" s="5370"/>
      <c r="U32" s="1298"/>
      <c r="V32" s="5372" t="str">
        <f>IF(TITLE_IST_PUB_CHANGE="",IF(TITLE_IST_PUB="","",TITLE_IST_PUB),TITLE_IST_PUB_CHANGE)</f>
        <v>http://publication.pravo.gov.ru/document/7801202407010029</v>
      </c>
      <c r="W32" s="5372"/>
      <c r="X32" s="5372"/>
      <c r="Y32" s="5372"/>
      <c r="Z32" s="5372"/>
      <c r="AA32" s="5372"/>
      <c r="AB32" s="5372"/>
      <c r="AC32" s="263"/>
      <c r="AD32" s="5372" t="str">
        <f>IF(TITLE_IST_PUB_CHANGE="",IF(TITLE_IST_PUB="","",TITLE_IST_PUB),TITLE_IST_PUB_CHANGE)</f>
        <v>http://publication.pravo.gov.ru/document/7801202407010029</v>
      </c>
      <c r="AE32" s="5372"/>
      <c r="AF32" s="5372"/>
      <c r="AG32" s="5372"/>
      <c r="AH32" s="5372"/>
      <c r="AI32" s="5372"/>
      <c r="AJ32" s="5372"/>
      <c r="AK32" s="263"/>
      <c r="AL32" s="5372" t="str">
        <f>IF(TITLE_IST_PUB_CHANGE="",IF(TITLE_IST_PUB="","",TITLE_IST_PUB),TITLE_IST_PUB_CHANGE)</f>
        <v>http://publication.pravo.gov.ru/document/7801202407010029</v>
      </c>
      <c r="AM32" s="5372"/>
      <c r="AN32" s="5372"/>
      <c r="AO32" s="5372"/>
      <c r="AP32" s="5372"/>
      <c r="AQ32" s="5372"/>
      <c r="AR32" s="5372"/>
      <c r="AS32" s="1561"/>
      <c r="AT32" s="5372" t="str">
        <f>IF(TITLE_IST_PUB_CHANGE="",IF(TITLE_IST_PUB="","",TITLE_IST_PUB),TITLE_IST_PUB_CHANGE)</f>
        <v>http://publication.pravo.gov.ru/document/7801202407010029</v>
      </c>
      <c r="AU32" s="5372"/>
      <c r="AV32" s="5372"/>
      <c r="AW32" s="5372"/>
      <c r="AX32" s="5372"/>
      <c r="AY32" s="5372"/>
      <c r="AZ32" s="5372"/>
      <c r="BA32" s="1561"/>
      <c r="BB32" s="5372" t="str">
        <f>IF(TITLE_IST_PUB_CHANGE="",IF(TITLE_IST_PUB="","",TITLE_IST_PUB),TITLE_IST_PUB_CHANGE)</f>
        <v>http://publication.pravo.gov.ru/document/7801202407010029</v>
      </c>
      <c r="BC32" s="5372"/>
      <c r="BD32" s="5372"/>
      <c r="BE32" s="5372"/>
      <c r="BF32" s="5372"/>
      <c r="BG32" s="5372"/>
      <c r="BH32" s="5372"/>
      <c r="BI32" s="1561"/>
      <c r="BJ32" s="5372" t="str">
        <f>IF(TITLE_IST_PUB_CHANGE="",IF(TITLE_IST_PUB="","",TITLE_IST_PUB),TITLE_IST_PUB_CHANGE)</f>
        <v>http://publication.pravo.gov.ru/document/7801202407010029</v>
      </c>
      <c r="BK32" s="5372"/>
      <c r="BL32" s="5372"/>
      <c r="BM32" s="5372"/>
      <c r="BN32" s="5372"/>
      <c r="BO32" s="5372"/>
      <c r="BP32" s="5372"/>
      <c r="BQ32" s="1561"/>
      <c r="BR32" s="5372" t="str">
        <f>IF(TITLE_IST_PUB_CHANGE="",IF(TITLE_IST_PUB="","",TITLE_IST_PUB),TITLE_IST_PUB_CHANGE)</f>
        <v>http://publication.pravo.gov.ru/document/7801202407010029</v>
      </c>
      <c r="BS32" s="5372"/>
      <c r="BT32" s="5372"/>
      <c r="BU32" s="5372"/>
      <c r="BV32" s="5372"/>
      <c r="BW32" s="5372"/>
      <c r="BX32" s="5372"/>
      <c r="BY32" s="1561"/>
      <c r="BZ32" s="5372" t="str">
        <f>IF(TITLE_IST_PUB_CHANGE="",IF(TITLE_IST_PUB="","",TITLE_IST_PUB),TITLE_IST_PUB_CHANGE)</f>
        <v>http://publication.pravo.gov.ru/document/7801202407010029</v>
      </c>
      <c r="CA32" s="5372"/>
      <c r="CB32" s="5372"/>
      <c r="CC32" s="5372"/>
      <c r="CD32" s="5372"/>
      <c r="CE32" s="5372"/>
      <c r="CF32" s="5372"/>
      <c r="CG32" s="1561"/>
      <c r="CH32" s="5372" t="str">
        <f>IF(TITLE_IST_PUB_CHANGE="",IF(TITLE_IST_PUB="","",TITLE_IST_PUB),TITLE_IST_PUB_CHANGE)</f>
        <v>http://publication.pravo.gov.ru/document/7801202407010029</v>
      </c>
      <c r="CI32" s="5372"/>
      <c r="CJ32" s="5372"/>
      <c r="CK32" s="5372"/>
      <c r="CL32" s="5372"/>
      <c r="CM32" s="5372"/>
      <c r="CN32" s="5372"/>
      <c r="CO32" s="1561"/>
      <c r="CP32" s="5372" t="str">
        <f>IF(TITLE_IST_PUB_CHANGE="",IF(TITLE_IST_PUB="","",TITLE_IST_PUB),TITLE_IST_PUB_CHANGE)</f>
        <v>http://publication.pravo.gov.ru/document/7801202407010029</v>
      </c>
      <c r="CQ32" s="5372"/>
      <c r="CR32" s="5372"/>
      <c r="CS32" s="5372"/>
      <c r="CT32" s="5372"/>
      <c r="CU32" s="5372"/>
      <c r="CV32" s="5372"/>
      <c r="CW32" s="1561"/>
      <c r="CX32" s="5372" t="str">
        <f>IF(TITLE_IST_PUB_CHANGE="",IF(TITLE_IST_PUB="","",TITLE_IST_PUB),TITLE_IST_PUB_CHANGE)</f>
        <v>http://publication.pravo.gov.ru/document/7801202407010029</v>
      </c>
      <c r="CY32" s="5372"/>
      <c r="CZ32" s="5372"/>
      <c r="DA32" s="5372"/>
      <c r="DB32" s="5372"/>
      <c r="DC32" s="5372"/>
      <c r="DD32" s="5372"/>
      <c r="DE32" s="5155"/>
      <c r="DF32" s="263"/>
      <c r="DG32" s="217"/>
      <c r="DH32" s="304"/>
      <c r="DI32" s="304"/>
      <c r="DJ32" s="304"/>
      <c r="DK32" s="304"/>
      <c r="DL32" s="304"/>
      <c r="DM32" s="354">
        <v>0</v>
      </c>
    </row>
    <row r="33" spans="1:117"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259"/>
      <c r="CQ33" s="259"/>
      <c r="CR33" s="259"/>
      <c r="CS33" s="259"/>
      <c r="CT33" s="259"/>
      <c r="CU33" s="259"/>
      <c r="CV33" s="259"/>
      <c r="CW33" s="259"/>
      <c r="CX33" s="259"/>
      <c r="CY33" s="259"/>
      <c r="CZ33" s="259"/>
      <c r="DA33" s="259"/>
      <c r="DB33" s="259"/>
      <c r="DC33" s="259"/>
      <c r="DD33" s="259"/>
      <c r="DE33" s="5165"/>
      <c r="DF33" s="445"/>
      <c r="DM33" s="1081">
        <v>0</v>
      </c>
    </row>
    <row r="34" spans="1:117" s="1777" customFormat="1" ht="18.75" hidden="1" customHeight="1">
      <c r="A34" s="1294"/>
      <c r="B34" s="1294"/>
      <c r="C34" s="1294"/>
      <c r="D34" s="1294"/>
      <c r="E34" s="1294"/>
      <c r="F34" s="1294"/>
      <c r="G34" s="1294"/>
      <c r="H34" s="1294"/>
      <c r="I34" s="1294"/>
      <c r="J34" s="1294"/>
      <c r="K34" s="1294"/>
      <c r="L34" s="1295"/>
      <c r="M34" s="1294"/>
      <c r="N34" s="1294"/>
      <c r="O34" s="1294"/>
      <c r="S34" s="5370" t="s">
        <v>449</v>
      </c>
      <c r="T34" s="5370"/>
      <c r="U34" s="1298"/>
      <c r="V34" s="5371">
        <f>IF(TITLE_DATE_PR_CHANGE="",IF(TITLE_DATE_PR="","",TITLE_DATE_PR),TITLE_DATE_PR_CHANGE)</f>
        <v>45470</v>
      </c>
      <c r="W34" s="5371"/>
      <c r="X34" s="5371"/>
      <c r="Y34" s="5371"/>
      <c r="Z34" s="5371"/>
      <c r="AA34" s="5371"/>
      <c r="AB34" s="5371"/>
      <c r="AC34" s="263"/>
      <c r="AD34" s="5371">
        <f>IF(TITLE_DATE_PR_CHANGE="",IF(TITLE_DATE_PR="","",TITLE_DATE_PR),TITLE_DATE_PR_CHANGE)</f>
        <v>45470</v>
      </c>
      <c r="AE34" s="5371"/>
      <c r="AF34" s="5371"/>
      <c r="AG34" s="5371"/>
      <c r="AH34" s="5371"/>
      <c r="AI34" s="5371"/>
      <c r="AJ34" s="5371"/>
      <c r="AK34" s="263"/>
      <c r="AL34" s="5371">
        <f>IF(TITLE_DATE_PR_CHANGE="",IF(TITLE_DATE_PR="","",TITLE_DATE_PR),TITLE_DATE_PR_CHANGE)</f>
        <v>45470</v>
      </c>
      <c r="AM34" s="5371"/>
      <c r="AN34" s="5371"/>
      <c r="AO34" s="5371"/>
      <c r="AP34" s="5371"/>
      <c r="AQ34" s="5371"/>
      <c r="AR34" s="5371"/>
      <c r="AS34" s="1561"/>
      <c r="AT34" s="5371">
        <f>IF(TITLE_DATE_PR_CHANGE="",IF(TITLE_DATE_PR="","",TITLE_DATE_PR),TITLE_DATE_PR_CHANGE)</f>
        <v>45470</v>
      </c>
      <c r="AU34" s="5371"/>
      <c r="AV34" s="5371"/>
      <c r="AW34" s="5371"/>
      <c r="AX34" s="5371"/>
      <c r="AY34" s="5371"/>
      <c r="AZ34" s="5371"/>
      <c r="BA34" s="1561"/>
      <c r="BB34" s="5371">
        <f>IF(TITLE_DATE_PR_CHANGE="",IF(TITLE_DATE_PR="","",TITLE_DATE_PR),TITLE_DATE_PR_CHANGE)</f>
        <v>45470</v>
      </c>
      <c r="BC34" s="5371"/>
      <c r="BD34" s="5371"/>
      <c r="BE34" s="5371"/>
      <c r="BF34" s="5371"/>
      <c r="BG34" s="5371"/>
      <c r="BH34" s="5371"/>
      <c r="BI34" s="1561"/>
      <c r="BJ34" s="5371">
        <f>IF(TITLE_DATE_PR_CHANGE="",IF(TITLE_DATE_PR="","",TITLE_DATE_PR),TITLE_DATE_PR_CHANGE)</f>
        <v>45470</v>
      </c>
      <c r="BK34" s="5371"/>
      <c r="BL34" s="5371"/>
      <c r="BM34" s="5371"/>
      <c r="BN34" s="5371"/>
      <c r="BO34" s="5371"/>
      <c r="BP34" s="5371"/>
      <c r="BQ34" s="1561"/>
      <c r="BR34" s="5371">
        <f>IF(TITLE_DATE_PR_CHANGE="",IF(TITLE_DATE_PR="","",TITLE_DATE_PR),TITLE_DATE_PR_CHANGE)</f>
        <v>45470</v>
      </c>
      <c r="BS34" s="5371"/>
      <c r="BT34" s="5371"/>
      <c r="BU34" s="5371"/>
      <c r="BV34" s="5371"/>
      <c r="BW34" s="5371"/>
      <c r="BX34" s="5371"/>
      <c r="BY34" s="1561"/>
      <c r="BZ34" s="5371">
        <f>IF(TITLE_DATE_PR_CHANGE="",IF(TITLE_DATE_PR="","",TITLE_DATE_PR),TITLE_DATE_PR_CHANGE)</f>
        <v>45470</v>
      </c>
      <c r="CA34" s="5371"/>
      <c r="CB34" s="5371"/>
      <c r="CC34" s="5371"/>
      <c r="CD34" s="5371"/>
      <c r="CE34" s="5371"/>
      <c r="CF34" s="5371"/>
      <c r="CG34" s="1561"/>
      <c r="CH34" s="5371">
        <f>IF(TITLE_DATE_PR_CHANGE="",IF(TITLE_DATE_PR="","",TITLE_DATE_PR),TITLE_DATE_PR_CHANGE)</f>
        <v>45470</v>
      </c>
      <c r="CI34" s="5371"/>
      <c r="CJ34" s="5371"/>
      <c r="CK34" s="5371"/>
      <c r="CL34" s="5371"/>
      <c r="CM34" s="5371"/>
      <c r="CN34" s="5371"/>
      <c r="CO34" s="1561"/>
      <c r="CP34" s="5371">
        <f>IF(TITLE_DATE_PR_CHANGE="",IF(TITLE_DATE_PR="","",TITLE_DATE_PR),TITLE_DATE_PR_CHANGE)</f>
        <v>45470</v>
      </c>
      <c r="CQ34" s="5371"/>
      <c r="CR34" s="5371"/>
      <c r="CS34" s="5371"/>
      <c r="CT34" s="5371"/>
      <c r="CU34" s="5371"/>
      <c r="CV34" s="5371"/>
      <c r="CW34" s="1561"/>
      <c r="CX34" s="5371">
        <f>IF(TITLE_DATE_PR_CHANGE="",IF(TITLE_DATE_PR="","",TITLE_DATE_PR),TITLE_DATE_PR_CHANGE)</f>
        <v>45470</v>
      </c>
      <c r="CY34" s="5371"/>
      <c r="CZ34" s="5371"/>
      <c r="DA34" s="5371"/>
      <c r="DB34" s="5371"/>
      <c r="DC34" s="5371"/>
      <c r="DD34" s="5371"/>
      <c r="DE34" s="5155"/>
      <c r="DF34" s="263"/>
      <c r="DG34" s="217"/>
      <c r="DH34" s="304"/>
      <c r="DI34" s="304"/>
      <c r="DJ34" s="304"/>
      <c r="DK34" s="304"/>
      <c r="DL34" s="304"/>
      <c r="DM34" s="354">
        <v>0</v>
      </c>
    </row>
    <row r="35" spans="1:117" s="1777" customFormat="1" ht="18.75" hidden="1" customHeight="1">
      <c r="A35" s="1294"/>
      <c r="B35" s="1294"/>
      <c r="C35" s="1294"/>
      <c r="D35" s="1294"/>
      <c r="E35" s="1294"/>
      <c r="F35" s="1294"/>
      <c r="G35" s="1294"/>
      <c r="H35" s="1294"/>
      <c r="I35" s="1294"/>
      <c r="J35" s="1294"/>
      <c r="K35" s="1294"/>
      <c r="L35" s="1295"/>
      <c r="M35" s="1294"/>
      <c r="N35" s="1294"/>
      <c r="O35" s="1294"/>
      <c r="S35" s="5370" t="s">
        <v>450</v>
      </c>
      <c r="T35" s="5370"/>
      <c r="U35" s="1298"/>
      <c r="V35" s="5372" t="str">
        <f>IF(TITLE_NUMBER_PR_CHANGE="",IF(TITLE_NUMBER_PR="","",TITLE_NUMBER_PR),TITLE_NUMBER_PR_CHANGE)</f>
        <v>94-р</v>
      </c>
      <c r="W35" s="5372"/>
      <c r="X35" s="5372"/>
      <c r="Y35" s="5372"/>
      <c r="Z35" s="5372"/>
      <c r="AA35" s="5372"/>
      <c r="AB35" s="5372"/>
      <c r="AC35" s="263"/>
      <c r="AD35" s="5372" t="str">
        <f>IF(TITLE_NUMBER_PR_CHANGE="",IF(TITLE_NUMBER_PR="","",TITLE_NUMBER_PR),TITLE_NUMBER_PR_CHANGE)</f>
        <v>94-р</v>
      </c>
      <c r="AE35" s="5372"/>
      <c r="AF35" s="5372"/>
      <c r="AG35" s="5372"/>
      <c r="AH35" s="5372"/>
      <c r="AI35" s="5372"/>
      <c r="AJ35" s="5372"/>
      <c r="AK35" s="263"/>
      <c r="AL35" s="5372" t="str">
        <f>IF(TITLE_NUMBER_PR_CHANGE="",IF(TITLE_NUMBER_PR="","",TITLE_NUMBER_PR),TITLE_NUMBER_PR_CHANGE)</f>
        <v>94-р</v>
      </c>
      <c r="AM35" s="5372"/>
      <c r="AN35" s="5372"/>
      <c r="AO35" s="5372"/>
      <c r="AP35" s="5372"/>
      <c r="AQ35" s="5372"/>
      <c r="AR35" s="5372"/>
      <c r="AS35" s="1561"/>
      <c r="AT35" s="5372" t="str">
        <f>IF(TITLE_NUMBER_PR_CHANGE="",IF(TITLE_NUMBER_PR="","",TITLE_NUMBER_PR),TITLE_NUMBER_PR_CHANGE)</f>
        <v>94-р</v>
      </c>
      <c r="AU35" s="5372"/>
      <c r="AV35" s="5372"/>
      <c r="AW35" s="5372"/>
      <c r="AX35" s="5372"/>
      <c r="AY35" s="5372"/>
      <c r="AZ35" s="5372"/>
      <c r="BA35" s="1561"/>
      <c r="BB35" s="5372" t="str">
        <f>IF(TITLE_NUMBER_PR_CHANGE="",IF(TITLE_NUMBER_PR="","",TITLE_NUMBER_PR),TITLE_NUMBER_PR_CHANGE)</f>
        <v>94-р</v>
      </c>
      <c r="BC35" s="5372"/>
      <c r="BD35" s="5372"/>
      <c r="BE35" s="5372"/>
      <c r="BF35" s="5372"/>
      <c r="BG35" s="5372"/>
      <c r="BH35" s="5372"/>
      <c r="BI35" s="1561"/>
      <c r="BJ35" s="5372" t="str">
        <f>IF(TITLE_NUMBER_PR_CHANGE="",IF(TITLE_NUMBER_PR="","",TITLE_NUMBER_PR),TITLE_NUMBER_PR_CHANGE)</f>
        <v>94-р</v>
      </c>
      <c r="BK35" s="5372"/>
      <c r="BL35" s="5372"/>
      <c r="BM35" s="5372"/>
      <c r="BN35" s="5372"/>
      <c r="BO35" s="5372"/>
      <c r="BP35" s="5372"/>
      <c r="BQ35" s="1561"/>
      <c r="BR35" s="5372" t="str">
        <f>IF(TITLE_NUMBER_PR_CHANGE="",IF(TITLE_NUMBER_PR="","",TITLE_NUMBER_PR),TITLE_NUMBER_PR_CHANGE)</f>
        <v>94-р</v>
      </c>
      <c r="BS35" s="5372"/>
      <c r="BT35" s="5372"/>
      <c r="BU35" s="5372"/>
      <c r="BV35" s="5372"/>
      <c r="BW35" s="5372"/>
      <c r="BX35" s="5372"/>
      <c r="BY35" s="1561"/>
      <c r="BZ35" s="5372" t="str">
        <f>IF(TITLE_NUMBER_PR_CHANGE="",IF(TITLE_NUMBER_PR="","",TITLE_NUMBER_PR),TITLE_NUMBER_PR_CHANGE)</f>
        <v>94-р</v>
      </c>
      <c r="CA35" s="5372"/>
      <c r="CB35" s="5372"/>
      <c r="CC35" s="5372"/>
      <c r="CD35" s="5372"/>
      <c r="CE35" s="5372"/>
      <c r="CF35" s="5372"/>
      <c r="CG35" s="1561"/>
      <c r="CH35" s="5372" t="str">
        <f>IF(TITLE_NUMBER_PR_CHANGE="",IF(TITLE_NUMBER_PR="","",TITLE_NUMBER_PR),TITLE_NUMBER_PR_CHANGE)</f>
        <v>94-р</v>
      </c>
      <c r="CI35" s="5372"/>
      <c r="CJ35" s="5372"/>
      <c r="CK35" s="5372"/>
      <c r="CL35" s="5372"/>
      <c r="CM35" s="5372"/>
      <c r="CN35" s="5372"/>
      <c r="CO35" s="1561"/>
      <c r="CP35" s="5372" t="str">
        <f>IF(TITLE_NUMBER_PR_CHANGE="",IF(TITLE_NUMBER_PR="","",TITLE_NUMBER_PR),TITLE_NUMBER_PR_CHANGE)</f>
        <v>94-р</v>
      </c>
      <c r="CQ35" s="5372"/>
      <c r="CR35" s="5372"/>
      <c r="CS35" s="5372"/>
      <c r="CT35" s="5372"/>
      <c r="CU35" s="5372"/>
      <c r="CV35" s="5372"/>
      <c r="CW35" s="1561"/>
      <c r="CX35" s="5372" t="str">
        <f>IF(TITLE_NUMBER_PR_CHANGE="",IF(TITLE_NUMBER_PR="","",TITLE_NUMBER_PR),TITLE_NUMBER_PR_CHANGE)</f>
        <v>94-р</v>
      </c>
      <c r="CY35" s="5372"/>
      <c r="CZ35" s="5372"/>
      <c r="DA35" s="5372"/>
      <c r="DB35" s="5372"/>
      <c r="DC35" s="5372"/>
      <c r="DD35" s="5372"/>
      <c r="DE35" s="5155"/>
      <c r="DF35" s="263"/>
      <c r="DG35" s="217"/>
      <c r="DH35" s="304"/>
      <c r="DI35" s="304"/>
      <c r="DJ35" s="304"/>
      <c r="DK35" s="304"/>
      <c r="DL35" s="304"/>
      <c r="DM35" s="354">
        <v>0</v>
      </c>
    </row>
    <row r="36" spans="1:117"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451</v>
      </c>
      <c r="AD36" s="263"/>
      <c r="AE36" s="263"/>
      <c r="AF36" s="263"/>
      <c r="AG36" s="263"/>
      <c r="AH36" s="263"/>
      <c r="AI36" s="263"/>
      <c r="AJ36" s="263"/>
      <c r="AK36" s="215" t="s">
        <v>451</v>
      </c>
      <c r="AL36" s="1561"/>
      <c r="AM36" s="1561"/>
      <c r="AN36" s="1561"/>
      <c r="AO36" s="1561"/>
      <c r="AP36" s="1561"/>
      <c r="AQ36" s="1561"/>
      <c r="AR36" s="1561"/>
      <c r="AS36" s="1568" t="s">
        <v>451</v>
      </c>
      <c r="AT36" s="1561"/>
      <c r="AU36" s="1561"/>
      <c r="AV36" s="1561"/>
      <c r="AW36" s="1561"/>
      <c r="AX36" s="1561"/>
      <c r="AY36" s="1561"/>
      <c r="AZ36" s="1561"/>
      <c r="BA36" s="1568" t="s">
        <v>451</v>
      </c>
      <c r="BB36" s="1561"/>
      <c r="BC36" s="1561"/>
      <c r="BD36" s="1561"/>
      <c r="BE36" s="1561"/>
      <c r="BF36" s="1561"/>
      <c r="BG36" s="1561"/>
      <c r="BH36" s="1561"/>
      <c r="BI36" s="1568" t="s">
        <v>451</v>
      </c>
      <c r="BJ36" s="1561"/>
      <c r="BK36" s="1561"/>
      <c r="BL36" s="1561"/>
      <c r="BM36" s="1561"/>
      <c r="BN36" s="1561"/>
      <c r="BO36" s="1561"/>
      <c r="BP36" s="1561"/>
      <c r="BQ36" s="1568" t="s">
        <v>451</v>
      </c>
      <c r="BR36" s="1561"/>
      <c r="BS36" s="1561"/>
      <c r="BT36" s="1561"/>
      <c r="BU36" s="1561"/>
      <c r="BV36" s="1561"/>
      <c r="BW36" s="1561"/>
      <c r="BX36" s="1561"/>
      <c r="BY36" s="1568" t="s">
        <v>451</v>
      </c>
      <c r="BZ36" s="1561"/>
      <c r="CA36" s="1561"/>
      <c r="CB36" s="1561"/>
      <c r="CC36" s="1561"/>
      <c r="CD36" s="1561"/>
      <c r="CE36" s="1561"/>
      <c r="CF36" s="1561"/>
      <c r="CG36" s="1568" t="s">
        <v>451</v>
      </c>
      <c r="CH36" s="1561"/>
      <c r="CI36" s="1561"/>
      <c r="CJ36" s="1561"/>
      <c r="CK36" s="1561"/>
      <c r="CL36" s="1561"/>
      <c r="CM36" s="1561"/>
      <c r="CN36" s="1561"/>
      <c r="CO36" s="1568" t="s">
        <v>451</v>
      </c>
      <c r="CP36" s="1561"/>
      <c r="CQ36" s="1561"/>
      <c r="CR36" s="1561"/>
      <c r="CS36" s="1561"/>
      <c r="CT36" s="1561"/>
      <c r="CU36" s="1561"/>
      <c r="CV36" s="1561"/>
      <c r="CW36" s="1568" t="s">
        <v>451</v>
      </c>
      <c r="CX36" s="1561"/>
      <c r="CY36" s="1561"/>
      <c r="CZ36" s="1561"/>
      <c r="DA36" s="1561"/>
      <c r="DB36" s="1561"/>
      <c r="DC36" s="1561"/>
      <c r="DD36" s="1561"/>
      <c r="DE36" s="5166" t="s">
        <v>451</v>
      </c>
      <c r="DH36" s="304"/>
      <c r="DI36" s="304"/>
      <c r="DJ36" s="304"/>
      <c r="DK36" s="304"/>
      <c r="DL36" s="304"/>
      <c r="DM36" s="354">
        <v>0</v>
      </c>
    </row>
    <row r="37" spans="1:117" ht="14.65" customHeight="1">
      <c r="Q37" s="312"/>
      <c r="R37" s="312"/>
      <c r="S37" s="1201"/>
      <c r="T37" s="299"/>
      <c r="U37" s="1170"/>
      <c r="V37" s="5393"/>
      <c r="W37" s="5393"/>
      <c r="X37" s="5393"/>
      <c r="Y37" s="5393"/>
      <c r="Z37" s="5393"/>
      <c r="AA37" s="5393"/>
      <c r="AB37" s="5393"/>
      <c r="AC37" s="5393"/>
      <c r="AD37" s="5393"/>
      <c r="AE37" s="5393"/>
      <c r="AF37" s="5393"/>
      <c r="AG37" s="5393"/>
      <c r="AH37" s="5393"/>
      <c r="AI37" s="5393"/>
      <c r="AJ37" s="5393"/>
      <c r="AK37" s="5393"/>
      <c r="AL37" s="5393" t="s">
        <v>166</v>
      </c>
      <c r="AM37" s="5393"/>
      <c r="AN37" s="5393"/>
      <c r="AO37" s="5393"/>
      <c r="AP37" s="5393"/>
      <c r="AQ37" s="5393"/>
      <c r="AR37" s="5393"/>
      <c r="AS37" s="5393"/>
      <c r="AT37" s="5393" t="s">
        <v>166</v>
      </c>
      <c r="AU37" s="5393"/>
      <c r="AV37" s="5393"/>
      <c r="AW37" s="5393"/>
      <c r="AX37" s="5393"/>
      <c r="AY37" s="5393"/>
      <c r="AZ37" s="5393"/>
      <c r="BA37" s="5393"/>
      <c r="BB37" s="5393" t="s">
        <v>166</v>
      </c>
      <c r="BC37" s="5393"/>
      <c r="BD37" s="5393"/>
      <c r="BE37" s="5393"/>
      <c r="BF37" s="5393"/>
      <c r="BG37" s="5393"/>
      <c r="BH37" s="5393"/>
      <c r="BI37" s="5393"/>
      <c r="BJ37" s="5393" t="s">
        <v>166</v>
      </c>
      <c r="BK37" s="5393"/>
      <c r="BL37" s="5393"/>
      <c r="BM37" s="5393"/>
      <c r="BN37" s="5393"/>
      <c r="BO37" s="5393"/>
      <c r="BP37" s="5393"/>
      <c r="BQ37" s="5393"/>
      <c r="BR37" s="5393" t="s">
        <v>166</v>
      </c>
      <c r="BS37" s="5393"/>
      <c r="BT37" s="5393"/>
      <c r="BU37" s="5393"/>
      <c r="BV37" s="5393"/>
      <c r="BW37" s="5393"/>
      <c r="BX37" s="5393"/>
      <c r="BY37" s="5393"/>
      <c r="BZ37" s="5393" t="s">
        <v>166</v>
      </c>
      <c r="CA37" s="5393"/>
      <c r="CB37" s="5393"/>
      <c r="CC37" s="5393"/>
      <c r="CD37" s="5393"/>
      <c r="CE37" s="5393"/>
      <c r="CF37" s="5393"/>
      <c r="CG37" s="5393"/>
      <c r="CH37" s="5393" t="s">
        <v>166</v>
      </c>
      <c r="CI37" s="5393"/>
      <c r="CJ37" s="5393"/>
      <c r="CK37" s="5393"/>
      <c r="CL37" s="5393"/>
      <c r="CM37" s="5393"/>
      <c r="CN37" s="5393"/>
      <c r="CO37" s="5393"/>
      <c r="CP37" s="5393" t="s">
        <v>166</v>
      </c>
      <c r="CQ37" s="5393"/>
      <c r="CR37" s="5393"/>
      <c r="CS37" s="5393"/>
      <c r="CT37" s="5393"/>
      <c r="CU37" s="5393"/>
      <c r="CV37" s="5393"/>
      <c r="CW37" s="5393"/>
      <c r="CX37" s="5393" t="s">
        <v>166</v>
      </c>
      <c r="CY37" s="5393"/>
      <c r="CZ37" s="5393"/>
      <c r="DA37" s="5393"/>
      <c r="DB37" s="5393"/>
      <c r="DC37" s="5393"/>
      <c r="DD37" s="5393"/>
      <c r="DE37" s="5410"/>
      <c r="DM37" s="1081">
        <v>14</v>
      </c>
    </row>
    <row r="38" spans="1:117" ht="15" customHeight="1">
      <c r="Q38" s="312"/>
      <c r="R38" s="312"/>
      <c r="S38" s="5235" t="s">
        <v>327</v>
      </c>
      <c r="T38" s="5235"/>
      <c r="U38" s="5235"/>
      <c r="V38" s="5235"/>
      <c r="W38" s="5235"/>
      <c r="X38" s="5235"/>
      <c r="Y38" s="5235"/>
      <c r="Z38" s="5235"/>
      <c r="AA38" s="5235"/>
      <c r="AB38" s="5235"/>
      <c r="AC38" s="5235"/>
      <c r="AD38" s="5235"/>
      <c r="AE38" s="5235"/>
      <c r="AF38" s="5235"/>
      <c r="AG38" s="5235"/>
      <c r="AH38" s="5235"/>
      <c r="AI38" s="5235"/>
      <c r="AJ38" s="5235"/>
      <c r="AK38" s="5235"/>
      <c r="AL38" s="5235" t="s">
        <v>327</v>
      </c>
      <c r="AM38" s="5235"/>
      <c r="AN38" s="5235"/>
      <c r="AO38" s="5235"/>
      <c r="AP38" s="5235"/>
      <c r="AQ38" s="5235"/>
      <c r="AR38" s="5235"/>
      <c r="AS38" s="5235"/>
      <c r="AT38" s="5235" t="s">
        <v>327</v>
      </c>
      <c r="AU38" s="5235"/>
      <c r="AV38" s="5235"/>
      <c r="AW38" s="5235"/>
      <c r="AX38" s="5235"/>
      <c r="AY38" s="5235"/>
      <c r="AZ38" s="5235"/>
      <c r="BA38" s="5235"/>
      <c r="BB38" s="5235" t="s">
        <v>327</v>
      </c>
      <c r="BC38" s="5235"/>
      <c r="BD38" s="5235"/>
      <c r="BE38" s="5235"/>
      <c r="BF38" s="5235"/>
      <c r="BG38" s="5235"/>
      <c r="BH38" s="5235"/>
      <c r="BI38" s="5235"/>
      <c r="BJ38" s="5235" t="s">
        <v>327</v>
      </c>
      <c r="BK38" s="5235"/>
      <c r="BL38" s="5235"/>
      <c r="BM38" s="5235"/>
      <c r="BN38" s="5235"/>
      <c r="BO38" s="5235"/>
      <c r="BP38" s="5235"/>
      <c r="BQ38" s="5235"/>
      <c r="BR38" s="5235" t="s">
        <v>327</v>
      </c>
      <c r="BS38" s="5235"/>
      <c r="BT38" s="5235"/>
      <c r="BU38" s="5235"/>
      <c r="BV38" s="5235"/>
      <c r="BW38" s="5235"/>
      <c r="BX38" s="5235"/>
      <c r="BY38" s="5235"/>
      <c r="BZ38" s="5235" t="s">
        <v>327</v>
      </c>
      <c r="CA38" s="5235"/>
      <c r="CB38" s="5235"/>
      <c r="CC38" s="5235"/>
      <c r="CD38" s="5235"/>
      <c r="CE38" s="5235"/>
      <c r="CF38" s="5235"/>
      <c r="CG38" s="5235"/>
      <c r="CH38" s="5235" t="s">
        <v>327</v>
      </c>
      <c r="CI38" s="5235"/>
      <c r="CJ38" s="5235"/>
      <c r="CK38" s="5235"/>
      <c r="CL38" s="5235"/>
      <c r="CM38" s="5235"/>
      <c r="CN38" s="5235"/>
      <c r="CO38" s="5235"/>
      <c r="CP38" s="5235" t="s">
        <v>327</v>
      </c>
      <c r="CQ38" s="5235"/>
      <c r="CR38" s="5235"/>
      <c r="CS38" s="5235"/>
      <c r="CT38" s="5235"/>
      <c r="CU38" s="5235"/>
      <c r="CV38" s="5235"/>
      <c r="CW38" s="5235"/>
      <c r="CX38" s="5235" t="s">
        <v>327</v>
      </c>
      <c r="CY38" s="5235"/>
      <c r="CZ38" s="5235"/>
      <c r="DA38" s="5235"/>
      <c r="DB38" s="5235"/>
      <c r="DC38" s="5235"/>
      <c r="DD38" s="5235"/>
      <c r="DE38" s="5394"/>
      <c r="DF38" s="5235"/>
      <c r="DG38" s="5235"/>
      <c r="DM38" s="1081"/>
    </row>
    <row r="39" spans="1:117" ht="14.65" customHeight="1">
      <c r="Q39" s="312"/>
      <c r="R39" s="312"/>
      <c r="S39" s="5395" t="s">
        <v>90</v>
      </c>
      <c r="T39" s="5339" t="s">
        <v>452</v>
      </c>
      <c r="U39" s="238"/>
      <c r="V39" s="5396" t="s">
        <v>453</v>
      </c>
      <c r="W39" s="5397"/>
      <c r="X39" s="5419"/>
      <c r="Y39" s="5419"/>
      <c r="Z39" s="5397"/>
      <c r="AA39" s="5397"/>
      <c r="AB39" s="5398"/>
      <c r="AC39" s="5399" t="s">
        <v>454</v>
      </c>
      <c r="AD39" s="5396" t="s">
        <v>453</v>
      </c>
      <c r="AE39" s="5397"/>
      <c r="AF39" s="5419"/>
      <c r="AG39" s="5419"/>
      <c r="AH39" s="5397"/>
      <c r="AI39" s="5397"/>
      <c r="AJ39" s="5398"/>
      <c r="AK39" s="5399" t="s">
        <v>455</v>
      </c>
      <c r="AL39" s="5396" t="s">
        <v>453</v>
      </c>
      <c r="AM39" s="5397"/>
      <c r="AN39" s="5419"/>
      <c r="AO39" s="5419"/>
      <c r="AP39" s="5397"/>
      <c r="AQ39" s="5397"/>
      <c r="AR39" s="5398"/>
      <c r="AS39" s="5399" t="s">
        <v>454</v>
      </c>
      <c r="AT39" s="5396" t="s">
        <v>453</v>
      </c>
      <c r="AU39" s="5397"/>
      <c r="AV39" s="5419"/>
      <c r="AW39" s="5419"/>
      <c r="AX39" s="5397"/>
      <c r="AY39" s="5397"/>
      <c r="AZ39" s="5398"/>
      <c r="BA39" s="5399" t="s">
        <v>454</v>
      </c>
      <c r="BB39" s="5396" t="s">
        <v>453</v>
      </c>
      <c r="BC39" s="5397"/>
      <c r="BD39" s="5419"/>
      <c r="BE39" s="5419"/>
      <c r="BF39" s="5397"/>
      <c r="BG39" s="5397"/>
      <c r="BH39" s="5398"/>
      <c r="BI39" s="5399" t="s">
        <v>454</v>
      </c>
      <c r="BJ39" s="5396" t="s">
        <v>453</v>
      </c>
      <c r="BK39" s="5397"/>
      <c r="BL39" s="5419"/>
      <c r="BM39" s="5419"/>
      <c r="BN39" s="5397"/>
      <c r="BO39" s="5397"/>
      <c r="BP39" s="5398"/>
      <c r="BQ39" s="5399" t="s">
        <v>454</v>
      </c>
      <c r="BR39" s="5396" t="s">
        <v>453</v>
      </c>
      <c r="BS39" s="5397"/>
      <c r="BT39" s="5419"/>
      <c r="BU39" s="5419"/>
      <c r="BV39" s="5397"/>
      <c r="BW39" s="5397"/>
      <c r="BX39" s="5398"/>
      <c r="BY39" s="5399" t="s">
        <v>454</v>
      </c>
      <c r="BZ39" s="5396" t="s">
        <v>453</v>
      </c>
      <c r="CA39" s="5397"/>
      <c r="CB39" s="5419"/>
      <c r="CC39" s="5419"/>
      <c r="CD39" s="5397"/>
      <c r="CE39" s="5397"/>
      <c r="CF39" s="5398"/>
      <c r="CG39" s="5399" t="s">
        <v>454</v>
      </c>
      <c r="CH39" s="5396" t="s">
        <v>453</v>
      </c>
      <c r="CI39" s="5397"/>
      <c r="CJ39" s="5419"/>
      <c r="CK39" s="5419"/>
      <c r="CL39" s="5397"/>
      <c r="CM39" s="5397"/>
      <c r="CN39" s="5398"/>
      <c r="CO39" s="5399" t="s">
        <v>454</v>
      </c>
      <c r="CP39" s="5396" t="s">
        <v>453</v>
      </c>
      <c r="CQ39" s="5397"/>
      <c r="CR39" s="5419"/>
      <c r="CS39" s="5419"/>
      <c r="CT39" s="5397"/>
      <c r="CU39" s="5397"/>
      <c r="CV39" s="5398"/>
      <c r="CW39" s="5399" t="s">
        <v>454</v>
      </c>
      <c r="CX39" s="5396" t="s">
        <v>453</v>
      </c>
      <c r="CY39" s="5397"/>
      <c r="CZ39" s="5419"/>
      <c r="DA39" s="5419"/>
      <c r="DB39" s="5397"/>
      <c r="DC39" s="5397"/>
      <c r="DD39" s="5398"/>
      <c r="DE39" s="5411" t="s">
        <v>454</v>
      </c>
      <c r="DF39" s="5402" t="s">
        <v>456</v>
      </c>
      <c r="DG39" s="5235"/>
      <c r="DM39" s="1081">
        <v>14</v>
      </c>
    </row>
    <row r="40" spans="1:117" ht="24" customHeight="1">
      <c r="Q40" s="312"/>
      <c r="R40" s="312"/>
      <c r="S40" s="5395"/>
      <c r="T40" s="5339"/>
      <c r="U40" s="960"/>
      <c r="V40" s="5417" t="s">
        <v>457</v>
      </c>
      <c r="W40" s="5312" t="s">
        <v>458</v>
      </c>
      <c r="X40" s="1302" t="s">
        <v>459</v>
      </c>
      <c r="Y40" s="1302"/>
      <c r="Z40" s="5222" t="s">
        <v>460</v>
      </c>
      <c r="AA40" s="5222"/>
      <c r="AB40" s="5216"/>
      <c r="AC40" s="5400"/>
      <c r="AD40" s="5417" t="s">
        <v>457</v>
      </c>
      <c r="AE40" s="5312" t="s">
        <v>458</v>
      </c>
      <c r="AF40" s="1302" t="s">
        <v>459</v>
      </c>
      <c r="AG40" s="1302"/>
      <c r="AH40" s="5222" t="s">
        <v>460</v>
      </c>
      <c r="AI40" s="5222"/>
      <c r="AJ40" s="5216"/>
      <c r="AK40" s="5400"/>
      <c r="AL40" s="5417" t="s">
        <v>457</v>
      </c>
      <c r="AM40" s="5312" t="s">
        <v>458</v>
      </c>
      <c r="AN40" s="1302" t="s">
        <v>459</v>
      </c>
      <c r="AO40" s="1302"/>
      <c r="AP40" s="5222" t="s">
        <v>460</v>
      </c>
      <c r="AQ40" s="5222"/>
      <c r="AR40" s="5216"/>
      <c r="AS40" s="5400"/>
      <c r="AT40" s="5417" t="s">
        <v>457</v>
      </c>
      <c r="AU40" s="5312" t="s">
        <v>458</v>
      </c>
      <c r="AV40" s="1302" t="s">
        <v>459</v>
      </c>
      <c r="AW40" s="1302"/>
      <c r="AX40" s="5222" t="s">
        <v>460</v>
      </c>
      <c r="AY40" s="5222"/>
      <c r="AZ40" s="5216"/>
      <c r="BA40" s="5400"/>
      <c r="BB40" s="5417" t="s">
        <v>457</v>
      </c>
      <c r="BC40" s="5312" t="s">
        <v>458</v>
      </c>
      <c r="BD40" s="1302" t="s">
        <v>459</v>
      </c>
      <c r="BE40" s="1302"/>
      <c r="BF40" s="5222" t="s">
        <v>460</v>
      </c>
      <c r="BG40" s="5222"/>
      <c r="BH40" s="5216"/>
      <c r="BI40" s="5400"/>
      <c r="BJ40" s="5417" t="s">
        <v>457</v>
      </c>
      <c r="BK40" s="5312" t="s">
        <v>458</v>
      </c>
      <c r="BL40" s="1302" t="s">
        <v>459</v>
      </c>
      <c r="BM40" s="1302"/>
      <c r="BN40" s="5222" t="s">
        <v>460</v>
      </c>
      <c r="BO40" s="5222"/>
      <c r="BP40" s="5216"/>
      <c r="BQ40" s="5400"/>
      <c r="BR40" s="5417" t="s">
        <v>457</v>
      </c>
      <c r="BS40" s="5312" t="s">
        <v>458</v>
      </c>
      <c r="BT40" s="1302" t="s">
        <v>459</v>
      </c>
      <c r="BU40" s="1302"/>
      <c r="BV40" s="5222" t="s">
        <v>460</v>
      </c>
      <c r="BW40" s="5222"/>
      <c r="BX40" s="5216"/>
      <c r="BY40" s="5400"/>
      <c r="BZ40" s="5417" t="s">
        <v>457</v>
      </c>
      <c r="CA40" s="5312" t="s">
        <v>458</v>
      </c>
      <c r="CB40" s="1302" t="s">
        <v>459</v>
      </c>
      <c r="CC40" s="1302"/>
      <c r="CD40" s="5222" t="s">
        <v>460</v>
      </c>
      <c r="CE40" s="5222"/>
      <c r="CF40" s="5216"/>
      <c r="CG40" s="5400"/>
      <c r="CH40" s="5417" t="s">
        <v>457</v>
      </c>
      <c r="CI40" s="5312" t="s">
        <v>458</v>
      </c>
      <c r="CJ40" s="1302" t="s">
        <v>459</v>
      </c>
      <c r="CK40" s="1302"/>
      <c r="CL40" s="5222" t="s">
        <v>460</v>
      </c>
      <c r="CM40" s="5222"/>
      <c r="CN40" s="5216"/>
      <c r="CO40" s="5400"/>
      <c r="CP40" s="5417" t="s">
        <v>457</v>
      </c>
      <c r="CQ40" s="5312" t="s">
        <v>458</v>
      </c>
      <c r="CR40" s="1302" t="s">
        <v>459</v>
      </c>
      <c r="CS40" s="1302"/>
      <c r="CT40" s="5222" t="s">
        <v>460</v>
      </c>
      <c r="CU40" s="5222"/>
      <c r="CV40" s="5216"/>
      <c r="CW40" s="5400"/>
      <c r="CX40" s="5417" t="s">
        <v>457</v>
      </c>
      <c r="CY40" s="5312" t="s">
        <v>458</v>
      </c>
      <c r="CZ40" s="1302" t="s">
        <v>459</v>
      </c>
      <c r="DA40" s="1302"/>
      <c r="DB40" s="5222" t="s">
        <v>460</v>
      </c>
      <c r="DC40" s="5222"/>
      <c r="DD40" s="5216"/>
      <c r="DE40" s="5412"/>
      <c r="DF40" s="5403"/>
      <c r="DG40" s="5235"/>
      <c r="DM40" s="1081">
        <v>23</v>
      </c>
    </row>
    <row r="41" spans="1:117" s="1192" customFormat="1" ht="24" customHeight="1">
      <c r="A41" s="1296"/>
      <c r="B41" s="1296" t="s">
        <v>137</v>
      </c>
      <c r="C41" s="1296" t="s">
        <v>138</v>
      </c>
      <c r="D41" s="1296" t="s">
        <v>139</v>
      </c>
      <c r="E41" s="1290" t="s">
        <v>461</v>
      </c>
      <c r="F41" s="1290" t="s">
        <v>462</v>
      </c>
      <c r="G41" s="1290" t="s">
        <v>463</v>
      </c>
      <c r="H41" s="1290" t="s">
        <v>464</v>
      </c>
      <c r="I41" s="1290" t="s">
        <v>465</v>
      </c>
      <c r="J41" s="1290" t="s">
        <v>466</v>
      </c>
      <c r="K41" s="1290" t="s">
        <v>467</v>
      </c>
      <c r="L41" s="1290" t="s">
        <v>442</v>
      </c>
      <c r="M41" s="1288"/>
      <c r="N41" s="1288"/>
      <c r="O41" s="1288"/>
      <c r="P41" s="1254"/>
      <c r="Q41" s="312"/>
      <c r="R41" s="312"/>
      <c r="S41" s="5395"/>
      <c r="T41" s="5339"/>
      <c r="U41" s="239"/>
      <c r="V41" s="5418"/>
      <c r="W41" s="5317"/>
      <c r="X41" s="1299" t="s">
        <v>468</v>
      </c>
      <c r="Y41" s="1299" t="s">
        <v>469</v>
      </c>
      <c r="Z41" s="1260" t="s">
        <v>470</v>
      </c>
      <c r="AA41" s="5344" t="s">
        <v>471</v>
      </c>
      <c r="AB41" s="5358"/>
      <c r="AC41" s="5401"/>
      <c r="AD41" s="5418"/>
      <c r="AE41" s="5317"/>
      <c r="AF41" s="1299" t="s">
        <v>468</v>
      </c>
      <c r="AG41" s="1299" t="s">
        <v>469</v>
      </c>
      <c r="AH41" s="1260" t="s">
        <v>470</v>
      </c>
      <c r="AI41" s="5344" t="s">
        <v>471</v>
      </c>
      <c r="AJ41" s="5358"/>
      <c r="AK41" s="5401"/>
      <c r="AL41" s="5418"/>
      <c r="AM41" s="5317"/>
      <c r="AN41" s="1299" t="s">
        <v>468</v>
      </c>
      <c r="AO41" s="1299" t="s">
        <v>469</v>
      </c>
      <c r="AP41" s="2010" t="s">
        <v>470</v>
      </c>
      <c r="AQ41" s="5344" t="s">
        <v>471</v>
      </c>
      <c r="AR41" s="5358"/>
      <c r="AS41" s="5401"/>
      <c r="AT41" s="5418"/>
      <c r="AU41" s="5317"/>
      <c r="AV41" s="1299" t="s">
        <v>468</v>
      </c>
      <c r="AW41" s="1299" t="s">
        <v>469</v>
      </c>
      <c r="AX41" s="2010" t="s">
        <v>470</v>
      </c>
      <c r="AY41" s="5344" t="s">
        <v>471</v>
      </c>
      <c r="AZ41" s="5358"/>
      <c r="BA41" s="5401"/>
      <c r="BB41" s="5418"/>
      <c r="BC41" s="5317"/>
      <c r="BD41" s="1299" t="s">
        <v>468</v>
      </c>
      <c r="BE41" s="1299" t="s">
        <v>469</v>
      </c>
      <c r="BF41" s="2010" t="s">
        <v>470</v>
      </c>
      <c r="BG41" s="5344" t="s">
        <v>471</v>
      </c>
      <c r="BH41" s="5358"/>
      <c r="BI41" s="5401"/>
      <c r="BJ41" s="5418"/>
      <c r="BK41" s="5317"/>
      <c r="BL41" s="1299" t="s">
        <v>468</v>
      </c>
      <c r="BM41" s="1299" t="s">
        <v>469</v>
      </c>
      <c r="BN41" s="2010" t="s">
        <v>470</v>
      </c>
      <c r="BO41" s="5344" t="s">
        <v>471</v>
      </c>
      <c r="BP41" s="5358"/>
      <c r="BQ41" s="5401"/>
      <c r="BR41" s="5418"/>
      <c r="BS41" s="5317"/>
      <c r="BT41" s="1299" t="s">
        <v>468</v>
      </c>
      <c r="BU41" s="1299" t="s">
        <v>469</v>
      </c>
      <c r="BV41" s="2010" t="s">
        <v>470</v>
      </c>
      <c r="BW41" s="5344" t="s">
        <v>471</v>
      </c>
      <c r="BX41" s="5358"/>
      <c r="BY41" s="5401"/>
      <c r="BZ41" s="5418"/>
      <c r="CA41" s="5317"/>
      <c r="CB41" s="1299" t="s">
        <v>468</v>
      </c>
      <c r="CC41" s="1299" t="s">
        <v>469</v>
      </c>
      <c r="CD41" s="2010" t="s">
        <v>470</v>
      </c>
      <c r="CE41" s="5344" t="s">
        <v>471</v>
      </c>
      <c r="CF41" s="5358"/>
      <c r="CG41" s="5401"/>
      <c r="CH41" s="5418"/>
      <c r="CI41" s="5317"/>
      <c r="CJ41" s="1299" t="s">
        <v>468</v>
      </c>
      <c r="CK41" s="1299" t="s">
        <v>469</v>
      </c>
      <c r="CL41" s="2010" t="s">
        <v>470</v>
      </c>
      <c r="CM41" s="5344" t="s">
        <v>471</v>
      </c>
      <c r="CN41" s="5358"/>
      <c r="CO41" s="5401"/>
      <c r="CP41" s="5418"/>
      <c r="CQ41" s="5317"/>
      <c r="CR41" s="1299" t="s">
        <v>468</v>
      </c>
      <c r="CS41" s="1299" t="s">
        <v>469</v>
      </c>
      <c r="CT41" s="2010" t="s">
        <v>470</v>
      </c>
      <c r="CU41" s="5344" t="s">
        <v>471</v>
      </c>
      <c r="CV41" s="5358"/>
      <c r="CW41" s="5401"/>
      <c r="CX41" s="5418"/>
      <c r="CY41" s="5317"/>
      <c r="CZ41" s="1299" t="s">
        <v>468</v>
      </c>
      <c r="DA41" s="1299" t="s">
        <v>469</v>
      </c>
      <c r="DB41" s="2010" t="s">
        <v>470</v>
      </c>
      <c r="DC41" s="5344" t="s">
        <v>471</v>
      </c>
      <c r="DD41" s="5358"/>
      <c r="DE41" s="5413"/>
      <c r="DF41" s="5404"/>
      <c r="DG41" s="5235"/>
      <c r="DH41" s="447"/>
      <c r="DI41" s="436"/>
      <c r="DJ41" s="436"/>
      <c r="DK41" s="436"/>
      <c r="DL41" s="436"/>
      <c r="DM41" s="518">
        <v>23</v>
      </c>
    </row>
    <row r="42" spans="1:117"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7">
        <f ca="1">OFFSET(X42,0,-1)+1</f>
        <v>1</v>
      </c>
      <c r="Y42" s="1267">
        <f ca="1">OFFSET(Y42,0,-1)+1</f>
        <v>2</v>
      </c>
      <c r="Z42" s="1261">
        <f ca="1">OFFSET(Z42,0,-1)+1</f>
        <v>3</v>
      </c>
      <c r="AA42" s="5392">
        <f ca="1">OFFSET(AA42,0,-1)+1</f>
        <v>4</v>
      </c>
      <c r="AB42" s="5392"/>
      <c r="AC42" s="1261">
        <f ca="1">OFFSET(AC42,0,-2)+1</f>
        <v>5</v>
      </c>
      <c r="AD42" s="1261">
        <f ca="1">OFFSET(AD42,0,-1)+1</f>
        <v>6</v>
      </c>
      <c r="AE42" s="1261"/>
      <c r="AF42" s="1267">
        <f ca="1">OFFSET(AF42,0,-1)+1</f>
        <v>1</v>
      </c>
      <c r="AG42" s="1267">
        <f ca="1">OFFSET(AG42,0,-1)+1</f>
        <v>2</v>
      </c>
      <c r="AH42" s="1261">
        <f ca="1">OFFSET(AH42,0,-1)+1</f>
        <v>3</v>
      </c>
      <c r="AI42" s="5392">
        <f ca="1">OFFSET(AI42,0,-1)+1</f>
        <v>4</v>
      </c>
      <c r="AJ42" s="5392"/>
      <c r="AK42" s="1261">
        <f ca="1">OFFSET(AK42,0,-2)+1</f>
        <v>5</v>
      </c>
      <c r="AL42" s="2011">
        <f ca="1">OFFSET(AL42,0,-1)+1</f>
        <v>6</v>
      </c>
      <c r="AM42" s="2011"/>
      <c r="AN42" s="1267">
        <f ca="1">OFFSET(AN42,0,-1)+1</f>
        <v>1</v>
      </c>
      <c r="AO42" s="1267">
        <f ca="1">OFFSET(AO42,0,-1)+1</f>
        <v>2</v>
      </c>
      <c r="AP42" s="2011">
        <f ca="1">OFFSET(AP42,0,-1)+1</f>
        <v>3</v>
      </c>
      <c r="AQ42" s="5392">
        <f ca="1">OFFSET(AQ42,0,-1)+1</f>
        <v>4</v>
      </c>
      <c r="AR42" s="5392"/>
      <c r="AS42" s="2011">
        <f ca="1">OFFSET(AS42,0,-2)+1</f>
        <v>5</v>
      </c>
      <c r="AT42" s="2011">
        <f ca="1">OFFSET(AT42,0,-1)+1</f>
        <v>6</v>
      </c>
      <c r="AU42" s="2011"/>
      <c r="AV42" s="1267">
        <f ca="1">OFFSET(AV42,0,-1)+1</f>
        <v>1</v>
      </c>
      <c r="AW42" s="1267">
        <f ca="1">OFFSET(AW42,0,-1)+1</f>
        <v>2</v>
      </c>
      <c r="AX42" s="2011">
        <f ca="1">OFFSET(AX42,0,-1)+1</f>
        <v>3</v>
      </c>
      <c r="AY42" s="5392">
        <f ca="1">OFFSET(AY42,0,-1)+1</f>
        <v>4</v>
      </c>
      <c r="AZ42" s="5392"/>
      <c r="BA42" s="2011">
        <f ca="1">OFFSET(BA42,0,-2)+1</f>
        <v>5</v>
      </c>
      <c r="BB42" s="2011">
        <f ca="1">OFFSET(BB42,0,-1)+1</f>
        <v>6</v>
      </c>
      <c r="BC42" s="2011"/>
      <c r="BD42" s="1267">
        <f ca="1">OFFSET(BD42,0,-1)+1</f>
        <v>1</v>
      </c>
      <c r="BE42" s="1267">
        <f ca="1">OFFSET(BE42,0,-1)+1</f>
        <v>2</v>
      </c>
      <c r="BF42" s="2011">
        <f ca="1">OFFSET(BF42,0,-1)+1</f>
        <v>3</v>
      </c>
      <c r="BG42" s="5392">
        <f ca="1">OFFSET(BG42,0,-1)+1</f>
        <v>4</v>
      </c>
      <c r="BH42" s="5392"/>
      <c r="BI42" s="2011">
        <f ca="1">OFFSET(BI42,0,-2)+1</f>
        <v>5</v>
      </c>
      <c r="BJ42" s="2011">
        <f ca="1">OFFSET(BJ42,0,-1)+1</f>
        <v>6</v>
      </c>
      <c r="BK42" s="2011"/>
      <c r="BL42" s="1267">
        <f ca="1">OFFSET(BL42,0,-1)+1</f>
        <v>1</v>
      </c>
      <c r="BM42" s="1267">
        <f ca="1">OFFSET(BM42,0,-1)+1</f>
        <v>2</v>
      </c>
      <c r="BN42" s="2011">
        <f ca="1">OFFSET(BN42,0,-1)+1</f>
        <v>3</v>
      </c>
      <c r="BO42" s="5392">
        <f ca="1">OFFSET(BO42,0,-1)+1</f>
        <v>4</v>
      </c>
      <c r="BP42" s="5392"/>
      <c r="BQ42" s="2011">
        <f ca="1">OFFSET(BQ42,0,-2)+1</f>
        <v>5</v>
      </c>
      <c r="BR42" s="2011">
        <f ca="1">OFFSET(BR42,0,-1)+1</f>
        <v>6</v>
      </c>
      <c r="BS42" s="2011"/>
      <c r="BT42" s="1267">
        <f ca="1">OFFSET(BT42,0,-1)+1</f>
        <v>1</v>
      </c>
      <c r="BU42" s="1267">
        <f ca="1">OFFSET(BU42,0,-1)+1</f>
        <v>2</v>
      </c>
      <c r="BV42" s="2011">
        <f ca="1">OFFSET(BV42,0,-1)+1</f>
        <v>3</v>
      </c>
      <c r="BW42" s="5392">
        <f ca="1">OFFSET(BW42,0,-1)+1</f>
        <v>4</v>
      </c>
      <c r="BX42" s="5392"/>
      <c r="BY42" s="2011">
        <f ca="1">OFFSET(BY42,0,-2)+1</f>
        <v>5</v>
      </c>
      <c r="BZ42" s="2011">
        <f ca="1">OFFSET(BZ42,0,-1)+1</f>
        <v>6</v>
      </c>
      <c r="CA42" s="2011"/>
      <c r="CB42" s="1267">
        <f ca="1">OFFSET(CB42,0,-1)+1</f>
        <v>1</v>
      </c>
      <c r="CC42" s="1267">
        <f ca="1">OFFSET(CC42,0,-1)+1</f>
        <v>2</v>
      </c>
      <c r="CD42" s="2011">
        <f ca="1">OFFSET(CD42,0,-1)+1</f>
        <v>3</v>
      </c>
      <c r="CE42" s="5392">
        <f ca="1">OFFSET(CE42,0,-1)+1</f>
        <v>4</v>
      </c>
      <c r="CF42" s="5392"/>
      <c r="CG42" s="2011">
        <f ca="1">OFFSET(CG42,0,-2)+1</f>
        <v>5</v>
      </c>
      <c r="CH42" s="2011">
        <f ca="1">OFFSET(CH42,0,-1)+1</f>
        <v>6</v>
      </c>
      <c r="CI42" s="2011"/>
      <c r="CJ42" s="1267">
        <f ca="1">OFFSET(CJ42,0,-1)+1</f>
        <v>1</v>
      </c>
      <c r="CK42" s="1267">
        <f ca="1">OFFSET(CK42,0,-1)+1</f>
        <v>2</v>
      </c>
      <c r="CL42" s="2011">
        <f ca="1">OFFSET(CL42,0,-1)+1</f>
        <v>3</v>
      </c>
      <c r="CM42" s="5392">
        <f ca="1">OFFSET(CM42,0,-1)+1</f>
        <v>4</v>
      </c>
      <c r="CN42" s="5392"/>
      <c r="CO42" s="2011">
        <f ca="1">OFFSET(CO42,0,-2)+1</f>
        <v>5</v>
      </c>
      <c r="CP42" s="2011">
        <f ca="1">OFFSET(CP42,0,-1)+1</f>
        <v>6</v>
      </c>
      <c r="CQ42" s="2011"/>
      <c r="CR42" s="1267">
        <f ca="1">OFFSET(CR42,0,-1)+1</f>
        <v>1</v>
      </c>
      <c r="CS42" s="1267">
        <f ca="1">OFFSET(CS42,0,-1)+1</f>
        <v>2</v>
      </c>
      <c r="CT42" s="2011">
        <f ca="1">OFFSET(CT42,0,-1)+1</f>
        <v>3</v>
      </c>
      <c r="CU42" s="5392">
        <f ca="1">OFFSET(CU42,0,-1)+1</f>
        <v>4</v>
      </c>
      <c r="CV42" s="5392"/>
      <c r="CW42" s="2011">
        <f ca="1">OFFSET(CW42,0,-2)+1</f>
        <v>5</v>
      </c>
      <c r="CX42" s="2011">
        <f ca="1">OFFSET(CX42,0,-1)+1</f>
        <v>6</v>
      </c>
      <c r="CY42" s="2011"/>
      <c r="CZ42" s="1267">
        <f ca="1">OFFSET(CZ42,0,-1)+1</f>
        <v>1</v>
      </c>
      <c r="DA42" s="1267">
        <f ca="1">OFFSET(DA42,0,-1)+1</f>
        <v>2</v>
      </c>
      <c r="DB42" s="2011">
        <f ca="1">OFFSET(DB42,0,-1)+1</f>
        <v>3</v>
      </c>
      <c r="DC42" s="5392">
        <f ca="1">OFFSET(DC42,0,-1)+1</f>
        <v>4</v>
      </c>
      <c r="DD42" s="5392"/>
      <c r="DE42" s="5167">
        <f ca="1">OFFSET(DE42,0,-2)+1</f>
        <v>5</v>
      </c>
      <c r="DF42" s="1171">
        <f ca="1">OFFSET(DF42,0,-1)</f>
        <v>5</v>
      </c>
      <c r="DG42" s="1261">
        <f ca="1">OFFSET(DG42,0,-1)+1</f>
        <v>6</v>
      </c>
      <c r="DH42" s="447"/>
      <c r="DI42" s="447"/>
      <c r="DJ42" s="447"/>
      <c r="DK42" s="447"/>
      <c r="DL42" s="447"/>
      <c r="DM42" s="432">
        <v>0</v>
      </c>
    </row>
    <row r="43" spans="1:117" ht="21.95" customHeight="1">
      <c r="A43" s="1289" t="s">
        <v>221</v>
      </c>
      <c r="B43" s="1289"/>
      <c r="C43" s="1289"/>
      <c r="D43" s="1289"/>
      <c r="E43" s="5381">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125</v>
      </c>
      <c r="U43" s="237"/>
      <c r="V43" s="5373"/>
      <c r="W43" s="5374"/>
      <c r="X43" s="5374"/>
      <c r="Y43" s="5374"/>
      <c r="Z43" s="5374"/>
      <c r="AA43" s="5374"/>
      <c r="AB43" s="5374"/>
      <c r="AC43" s="5375"/>
      <c r="AD43" s="5373" t="str">
        <f>INDEX(PT_DIFFERENTIATION_NTAR,MATCH(A43,PT_DIFFERENTIATION_NTAR_ID,0))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AE43" s="5374"/>
      <c r="AF43" s="5374"/>
      <c r="AG43" s="5374"/>
      <c r="AH43" s="5374"/>
      <c r="AI43" s="5374"/>
      <c r="AJ43" s="5374"/>
      <c r="AK43" s="5374"/>
      <c r="AL43" s="5373"/>
      <c r="AM43" s="5374"/>
      <c r="AN43" s="5374"/>
      <c r="AO43" s="5374"/>
      <c r="AP43" s="5374"/>
      <c r="AQ43" s="5374"/>
      <c r="AR43" s="5374"/>
      <c r="AS43" s="5375"/>
      <c r="AT43" s="5373"/>
      <c r="AU43" s="5374"/>
      <c r="AV43" s="5374"/>
      <c r="AW43" s="5374"/>
      <c r="AX43" s="5374"/>
      <c r="AY43" s="5374"/>
      <c r="AZ43" s="5374"/>
      <c r="BA43" s="5375"/>
      <c r="BB43" s="5373"/>
      <c r="BC43" s="5374"/>
      <c r="BD43" s="5374"/>
      <c r="BE43" s="5374"/>
      <c r="BF43" s="5374"/>
      <c r="BG43" s="5374"/>
      <c r="BH43" s="5374"/>
      <c r="BI43" s="5375"/>
      <c r="BJ43" s="5373"/>
      <c r="BK43" s="5374"/>
      <c r="BL43" s="5374"/>
      <c r="BM43" s="5374"/>
      <c r="BN43" s="5374"/>
      <c r="BO43" s="5374"/>
      <c r="BP43" s="5374"/>
      <c r="BQ43" s="5375"/>
      <c r="BR43" s="5373"/>
      <c r="BS43" s="5374"/>
      <c r="BT43" s="5374"/>
      <c r="BU43" s="5374"/>
      <c r="BV43" s="5374"/>
      <c r="BW43" s="5374"/>
      <c r="BX43" s="5374"/>
      <c r="BY43" s="5375"/>
      <c r="BZ43" s="5373"/>
      <c r="CA43" s="5374"/>
      <c r="CB43" s="5374"/>
      <c r="CC43" s="5374"/>
      <c r="CD43" s="5374"/>
      <c r="CE43" s="5374"/>
      <c r="CF43" s="5374"/>
      <c r="CG43" s="5375"/>
      <c r="CH43" s="5373"/>
      <c r="CI43" s="5374"/>
      <c r="CJ43" s="5374"/>
      <c r="CK43" s="5374"/>
      <c r="CL43" s="5374"/>
      <c r="CM43" s="5374"/>
      <c r="CN43" s="5374"/>
      <c r="CO43" s="5375"/>
      <c r="CP43" s="5373"/>
      <c r="CQ43" s="5374"/>
      <c r="CR43" s="5374"/>
      <c r="CS43" s="5374"/>
      <c r="CT43" s="5374"/>
      <c r="CU43" s="5374"/>
      <c r="CV43" s="5374"/>
      <c r="CW43" s="5375"/>
      <c r="CX43" s="5373"/>
      <c r="CY43" s="5374"/>
      <c r="CZ43" s="5374"/>
      <c r="DA43" s="5374"/>
      <c r="DB43" s="5374"/>
      <c r="DC43" s="5374"/>
      <c r="DD43" s="5374"/>
      <c r="DE43" s="5376"/>
      <c r="DF43" s="5375"/>
      <c r="DG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36"/>
      <c r="DJ43" s="436" t="str">
        <f t="shared" ref="DJ43:DJ57" si="1">IF(T43="","",T43)</f>
        <v>Наименование тарифа</v>
      </c>
      <c r="DK43" s="436"/>
      <c r="DL43" s="436"/>
      <c r="DM43" s="1081">
        <v>21</v>
      </c>
    </row>
    <row r="44" spans="1:117" ht="21.95" customHeight="1">
      <c r="A44" s="1289" t="s">
        <v>221</v>
      </c>
      <c r="B44" s="1289" t="s">
        <v>222</v>
      </c>
      <c r="C44" s="1289"/>
      <c r="D44" s="1289"/>
      <c r="E44" s="5382"/>
      <c r="F44" s="5381">
        <v>1</v>
      </c>
      <c r="G44" s="1289"/>
      <c r="H44" s="1289"/>
      <c r="I44" s="1289"/>
      <c r="J44" s="1289"/>
      <c r="K44" s="1289"/>
      <c r="L44" s="1290"/>
      <c r="M44" s="1291"/>
      <c r="N44" s="1291"/>
      <c r="O44" s="1291"/>
      <c r="P44" s="1258"/>
      <c r="Q44" s="288"/>
      <c r="R44" s="289"/>
      <c r="S44" s="1262" t="str">
        <f>INDEX(PT_DIFFERENTIATION_NUM_TER,MATCH(B44,PT_DIFFERENTIATION_TER_ID,0))</f>
        <v>1.1</v>
      </c>
      <c r="T44" s="245" t="s">
        <v>424</v>
      </c>
      <c r="U44" s="237"/>
      <c r="V44" s="5373"/>
      <c r="W44" s="5374"/>
      <c r="X44" s="5374"/>
      <c r="Y44" s="5374"/>
      <c r="Z44" s="5374"/>
      <c r="AA44" s="5374"/>
      <c r="AB44" s="5374"/>
      <c r="AC44" s="5375"/>
      <c r="AD44" s="5373" t="str">
        <f>INDEX(PT_DIFFERENTIATION_TER,MATCH(B44,PT_DIFFERENTIATION_TER_ID,0))</f>
        <v>без дифференциации</v>
      </c>
      <c r="AE44" s="5374"/>
      <c r="AF44" s="5374"/>
      <c r="AG44" s="5374"/>
      <c r="AH44" s="5374"/>
      <c r="AI44" s="5374"/>
      <c r="AJ44" s="5374"/>
      <c r="AK44" s="5374"/>
      <c r="AL44" s="5373"/>
      <c r="AM44" s="5374"/>
      <c r="AN44" s="5374"/>
      <c r="AO44" s="5374"/>
      <c r="AP44" s="5374"/>
      <c r="AQ44" s="5374"/>
      <c r="AR44" s="5374"/>
      <c r="AS44" s="5375"/>
      <c r="AT44" s="5373"/>
      <c r="AU44" s="5374"/>
      <c r="AV44" s="5374"/>
      <c r="AW44" s="5374"/>
      <c r="AX44" s="5374"/>
      <c r="AY44" s="5374"/>
      <c r="AZ44" s="5374"/>
      <c r="BA44" s="5375"/>
      <c r="BB44" s="5373"/>
      <c r="BC44" s="5374"/>
      <c r="BD44" s="5374"/>
      <c r="BE44" s="5374"/>
      <c r="BF44" s="5374"/>
      <c r="BG44" s="5374"/>
      <c r="BH44" s="5374"/>
      <c r="BI44" s="5375"/>
      <c r="BJ44" s="5373"/>
      <c r="BK44" s="5374"/>
      <c r="BL44" s="5374"/>
      <c r="BM44" s="5374"/>
      <c r="BN44" s="5374"/>
      <c r="BO44" s="5374"/>
      <c r="BP44" s="5374"/>
      <c r="BQ44" s="5375"/>
      <c r="BR44" s="5373"/>
      <c r="BS44" s="5374"/>
      <c r="BT44" s="5374"/>
      <c r="BU44" s="5374"/>
      <c r="BV44" s="5374"/>
      <c r="BW44" s="5374"/>
      <c r="BX44" s="5374"/>
      <c r="BY44" s="5375"/>
      <c r="BZ44" s="5373"/>
      <c r="CA44" s="5374"/>
      <c r="CB44" s="5374"/>
      <c r="CC44" s="5374"/>
      <c r="CD44" s="5374"/>
      <c r="CE44" s="5374"/>
      <c r="CF44" s="5374"/>
      <c r="CG44" s="5375"/>
      <c r="CH44" s="5373"/>
      <c r="CI44" s="5374"/>
      <c r="CJ44" s="5374"/>
      <c r="CK44" s="5374"/>
      <c r="CL44" s="5374"/>
      <c r="CM44" s="5374"/>
      <c r="CN44" s="5374"/>
      <c r="CO44" s="5375"/>
      <c r="CP44" s="5373"/>
      <c r="CQ44" s="5374"/>
      <c r="CR44" s="5374"/>
      <c r="CS44" s="5374"/>
      <c r="CT44" s="5374"/>
      <c r="CU44" s="5374"/>
      <c r="CV44" s="5374"/>
      <c r="CW44" s="5375"/>
      <c r="CX44" s="5373"/>
      <c r="CY44" s="5374"/>
      <c r="CZ44" s="5374"/>
      <c r="DA44" s="5374"/>
      <c r="DB44" s="5374"/>
      <c r="DC44" s="5374"/>
      <c r="DD44" s="5374"/>
      <c r="DE44" s="5376"/>
      <c r="DF44" s="5375"/>
      <c r="DG44" s="1184" t="s">
        <v>425</v>
      </c>
      <c r="DI44" s="436"/>
      <c r="DJ44" s="436" t="str">
        <f t="shared" si="1"/>
        <v>Территория действия тарифа</v>
      </c>
      <c r="DK44" s="436"/>
      <c r="DL44" s="436"/>
      <c r="DM44" s="1081">
        <v>21</v>
      </c>
    </row>
    <row r="45" spans="1:117" ht="24" customHeight="1">
      <c r="A45" s="1289" t="s">
        <v>221</v>
      </c>
      <c r="B45" s="1289" t="s">
        <v>222</v>
      </c>
      <c r="C45" s="1289" t="s">
        <v>223</v>
      </c>
      <c r="D45" s="1289"/>
      <c r="E45" s="5382"/>
      <c r="F45" s="5382"/>
      <c r="G45" s="5381">
        <v>1</v>
      </c>
      <c r="H45" s="1289"/>
      <c r="I45" s="1289"/>
      <c r="J45" s="1289"/>
      <c r="K45" s="1289"/>
      <c r="L45" s="1290"/>
      <c r="M45" s="1291"/>
      <c r="N45" s="1291"/>
      <c r="O45" s="1291"/>
      <c r="P45" s="290"/>
      <c r="Q45" s="288"/>
      <c r="R45" s="289"/>
      <c r="S45" s="1262" t="str">
        <f>INDEX(PT_DIFFERENTIATION_NUM_CS,MATCH(C45,PT_DIFFERENTIATION_CS_ID,0))</f>
        <v>1.1.1</v>
      </c>
      <c r="T45" s="246" t="s">
        <v>426</v>
      </c>
      <c r="U45" s="237"/>
      <c r="V45" s="5373"/>
      <c r="W45" s="5374"/>
      <c r="X45" s="5374"/>
      <c r="Y45" s="5374"/>
      <c r="Z45" s="5374"/>
      <c r="AA45" s="5374"/>
      <c r="AB45" s="5374"/>
      <c r="AC45" s="5375"/>
      <c r="AD45" s="5373" t="str">
        <f>INDEX(PT_DIFFERENTIATION_CS,MATCH(C45,PT_DIFFERENTIATION_CS_ID,0))</f>
        <v>без дифференциации</v>
      </c>
      <c r="AE45" s="5374"/>
      <c r="AF45" s="5374"/>
      <c r="AG45" s="5374"/>
      <c r="AH45" s="5374"/>
      <c r="AI45" s="5374"/>
      <c r="AJ45" s="5374"/>
      <c r="AK45" s="5374"/>
      <c r="AL45" s="5373"/>
      <c r="AM45" s="5374"/>
      <c r="AN45" s="5374"/>
      <c r="AO45" s="5374"/>
      <c r="AP45" s="5374"/>
      <c r="AQ45" s="5374"/>
      <c r="AR45" s="5374"/>
      <c r="AS45" s="5375"/>
      <c r="AT45" s="5373"/>
      <c r="AU45" s="5374"/>
      <c r="AV45" s="5374"/>
      <c r="AW45" s="5374"/>
      <c r="AX45" s="5374"/>
      <c r="AY45" s="5374"/>
      <c r="AZ45" s="5374"/>
      <c r="BA45" s="5375"/>
      <c r="BB45" s="5373"/>
      <c r="BC45" s="5374"/>
      <c r="BD45" s="5374"/>
      <c r="BE45" s="5374"/>
      <c r="BF45" s="5374"/>
      <c r="BG45" s="5374"/>
      <c r="BH45" s="5374"/>
      <c r="BI45" s="5375"/>
      <c r="BJ45" s="5373"/>
      <c r="BK45" s="5374"/>
      <c r="BL45" s="5374"/>
      <c r="BM45" s="5374"/>
      <c r="BN45" s="5374"/>
      <c r="BO45" s="5374"/>
      <c r="BP45" s="5374"/>
      <c r="BQ45" s="5375"/>
      <c r="BR45" s="5373"/>
      <c r="BS45" s="5374"/>
      <c r="BT45" s="5374"/>
      <c r="BU45" s="5374"/>
      <c r="BV45" s="5374"/>
      <c r="BW45" s="5374"/>
      <c r="BX45" s="5374"/>
      <c r="BY45" s="5375"/>
      <c r="BZ45" s="5373"/>
      <c r="CA45" s="5374"/>
      <c r="CB45" s="5374"/>
      <c r="CC45" s="5374"/>
      <c r="CD45" s="5374"/>
      <c r="CE45" s="5374"/>
      <c r="CF45" s="5374"/>
      <c r="CG45" s="5375"/>
      <c r="CH45" s="5373"/>
      <c r="CI45" s="5374"/>
      <c r="CJ45" s="5374"/>
      <c r="CK45" s="5374"/>
      <c r="CL45" s="5374"/>
      <c r="CM45" s="5374"/>
      <c r="CN45" s="5374"/>
      <c r="CO45" s="5375"/>
      <c r="CP45" s="5373"/>
      <c r="CQ45" s="5374"/>
      <c r="CR45" s="5374"/>
      <c r="CS45" s="5374"/>
      <c r="CT45" s="5374"/>
      <c r="CU45" s="5374"/>
      <c r="CV45" s="5374"/>
      <c r="CW45" s="5375"/>
      <c r="CX45" s="5373"/>
      <c r="CY45" s="5374"/>
      <c r="CZ45" s="5374"/>
      <c r="DA45" s="5374"/>
      <c r="DB45" s="5374"/>
      <c r="DC45" s="5374"/>
      <c r="DD45" s="5374"/>
      <c r="DE45" s="5376"/>
      <c r="DF45" s="5375"/>
      <c r="DG45" s="1184" t="s">
        <v>427</v>
      </c>
      <c r="DI45" s="436"/>
      <c r="DJ45" s="436" t="str">
        <f t="shared" si="1"/>
        <v xml:space="preserve">Наименование системы теплоснабжения </v>
      </c>
      <c r="DK45" s="436"/>
      <c r="DL45" s="436"/>
      <c r="DM45" s="1081">
        <v>23</v>
      </c>
    </row>
    <row r="46" spans="1:117" ht="21.95" customHeight="1">
      <c r="A46" s="1289" t="s">
        <v>221</v>
      </c>
      <c r="B46" s="1289" t="s">
        <v>222</v>
      </c>
      <c r="C46" s="1289" t="s">
        <v>223</v>
      </c>
      <c r="D46" s="1289" t="s">
        <v>224</v>
      </c>
      <c r="E46" s="5382"/>
      <c r="F46" s="5382"/>
      <c r="G46" s="5382"/>
      <c r="H46" s="5381">
        <v>1</v>
      </c>
      <c r="I46" s="1289"/>
      <c r="J46" s="1289"/>
      <c r="K46" s="1289"/>
      <c r="L46" s="1290"/>
      <c r="M46" s="1291"/>
      <c r="N46" s="1291"/>
      <c r="O46" s="1291"/>
      <c r="P46" s="290"/>
      <c r="Q46" s="288"/>
      <c r="R46" s="289"/>
      <c r="S46" s="1262" t="str">
        <f>INDEX(PT_DIFFERENTIATION_NUM_IST_TE,MATCH(D46,PT_DIFFERENTIATION_IST_TE_ID,0))</f>
        <v>1.1.1.1</v>
      </c>
      <c r="T46" s="247" t="s">
        <v>428</v>
      </c>
      <c r="U46" s="237"/>
      <c r="V46" s="5373"/>
      <c r="W46" s="5374"/>
      <c r="X46" s="5374"/>
      <c r="Y46" s="5374"/>
      <c r="Z46" s="5374"/>
      <c r="AA46" s="5374"/>
      <c r="AB46" s="5374"/>
      <c r="AC46" s="5375"/>
      <c r="AD46" s="5373" t="str">
        <f>INDEX(PT_DIFFERENTIATION_IST_TE,MATCH(D46,PT_DIFFERENTIATION_IST_TE_ID,0))</f>
        <v>без дифференциации</v>
      </c>
      <c r="AE46" s="5374"/>
      <c r="AF46" s="5374"/>
      <c r="AG46" s="5374"/>
      <c r="AH46" s="5374"/>
      <c r="AI46" s="5374"/>
      <c r="AJ46" s="5374"/>
      <c r="AK46" s="5374"/>
      <c r="AL46" s="5373"/>
      <c r="AM46" s="5374"/>
      <c r="AN46" s="5374"/>
      <c r="AO46" s="5374"/>
      <c r="AP46" s="5374"/>
      <c r="AQ46" s="5374"/>
      <c r="AR46" s="5374"/>
      <c r="AS46" s="5375"/>
      <c r="AT46" s="5373"/>
      <c r="AU46" s="5374"/>
      <c r="AV46" s="5374"/>
      <c r="AW46" s="5374"/>
      <c r="AX46" s="5374"/>
      <c r="AY46" s="5374"/>
      <c r="AZ46" s="5374"/>
      <c r="BA46" s="5375"/>
      <c r="BB46" s="5373"/>
      <c r="BC46" s="5374"/>
      <c r="BD46" s="5374"/>
      <c r="BE46" s="5374"/>
      <c r="BF46" s="5374"/>
      <c r="BG46" s="5374"/>
      <c r="BH46" s="5374"/>
      <c r="BI46" s="5375"/>
      <c r="BJ46" s="5373"/>
      <c r="BK46" s="5374"/>
      <c r="BL46" s="5374"/>
      <c r="BM46" s="5374"/>
      <c r="BN46" s="5374"/>
      <c r="BO46" s="5374"/>
      <c r="BP46" s="5374"/>
      <c r="BQ46" s="5375"/>
      <c r="BR46" s="5373"/>
      <c r="BS46" s="5374"/>
      <c r="BT46" s="5374"/>
      <c r="BU46" s="5374"/>
      <c r="BV46" s="5374"/>
      <c r="BW46" s="5374"/>
      <c r="BX46" s="5374"/>
      <c r="BY46" s="5375"/>
      <c r="BZ46" s="5373"/>
      <c r="CA46" s="5374"/>
      <c r="CB46" s="5374"/>
      <c r="CC46" s="5374"/>
      <c r="CD46" s="5374"/>
      <c r="CE46" s="5374"/>
      <c r="CF46" s="5374"/>
      <c r="CG46" s="5375"/>
      <c r="CH46" s="5373"/>
      <c r="CI46" s="5374"/>
      <c r="CJ46" s="5374"/>
      <c r="CK46" s="5374"/>
      <c r="CL46" s="5374"/>
      <c r="CM46" s="5374"/>
      <c r="CN46" s="5374"/>
      <c r="CO46" s="5375"/>
      <c r="CP46" s="5373"/>
      <c r="CQ46" s="5374"/>
      <c r="CR46" s="5374"/>
      <c r="CS46" s="5374"/>
      <c r="CT46" s="5374"/>
      <c r="CU46" s="5374"/>
      <c r="CV46" s="5374"/>
      <c r="CW46" s="5375"/>
      <c r="CX46" s="5373"/>
      <c r="CY46" s="5374"/>
      <c r="CZ46" s="5374"/>
      <c r="DA46" s="5374"/>
      <c r="DB46" s="5374"/>
      <c r="DC46" s="5374"/>
      <c r="DD46" s="5374"/>
      <c r="DE46" s="5376"/>
      <c r="DF46" s="5375"/>
      <c r="DG46" s="1184" t="s">
        <v>429</v>
      </c>
      <c r="DI46" s="436"/>
      <c r="DJ46" s="436" t="str">
        <f t="shared" si="1"/>
        <v xml:space="preserve">Источник тепловой энергии  </v>
      </c>
      <c r="DK46" s="436"/>
      <c r="DL46" s="436"/>
      <c r="DM46" s="1081">
        <v>21</v>
      </c>
    </row>
    <row r="47" spans="1:117" ht="49.5" customHeight="1">
      <c r="A47" s="1289" t="s">
        <v>221</v>
      </c>
      <c r="B47" s="1289" t="s">
        <v>222</v>
      </c>
      <c r="C47" s="1289" t="s">
        <v>223</v>
      </c>
      <c r="D47" s="1289" t="s">
        <v>224</v>
      </c>
      <c r="E47" s="5382"/>
      <c r="F47" s="5382"/>
      <c r="G47" s="5382"/>
      <c r="H47" s="5382"/>
      <c r="I47" s="5383" t="str">
        <f>S46&amp;".1"</f>
        <v>1.1.1.1.1</v>
      </c>
      <c r="J47" s="1289"/>
      <c r="K47" s="1289"/>
      <c r="L47" s="1290" t="s">
        <v>430</v>
      </c>
      <c r="P47" s="5385">
        <v>1</v>
      </c>
      <c r="Q47" s="1257"/>
      <c r="R47" s="292"/>
      <c r="S47" s="1262" t="str">
        <f>$I47</f>
        <v>1.1.1.1.1</v>
      </c>
      <c r="T47" s="222" t="s">
        <v>431</v>
      </c>
      <c r="U47" s="237"/>
      <c r="V47" s="5366"/>
      <c r="W47" s="5367"/>
      <c r="X47" s="5367"/>
      <c r="Y47" s="5367"/>
      <c r="Z47" s="5367"/>
      <c r="AA47" s="5367"/>
      <c r="AB47" s="5367"/>
      <c r="AC47" s="5368"/>
      <c r="AD47" s="5366" t="s">
        <v>472</v>
      </c>
      <c r="AE47" s="5367"/>
      <c r="AF47" s="5367"/>
      <c r="AG47" s="5367"/>
      <c r="AH47" s="5367"/>
      <c r="AI47" s="5367"/>
      <c r="AJ47" s="5367"/>
      <c r="AK47" s="5367"/>
      <c r="AL47" s="5366"/>
      <c r="AM47" s="5367"/>
      <c r="AN47" s="5367"/>
      <c r="AO47" s="5367"/>
      <c r="AP47" s="5367"/>
      <c r="AQ47" s="5367"/>
      <c r="AR47" s="5367"/>
      <c r="AS47" s="5368"/>
      <c r="AT47" s="5366"/>
      <c r="AU47" s="5367"/>
      <c r="AV47" s="5367"/>
      <c r="AW47" s="5367"/>
      <c r="AX47" s="5367"/>
      <c r="AY47" s="5367"/>
      <c r="AZ47" s="5367"/>
      <c r="BA47" s="5368"/>
      <c r="BB47" s="5366"/>
      <c r="BC47" s="5367"/>
      <c r="BD47" s="5367"/>
      <c r="BE47" s="5367"/>
      <c r="BF47" s="5367"/>
      <c r="BG47" s="5367"/>
      <c r="BH47" s="5367"/>
      <c r="BI47" s="5368"/>
      <c r="BJ47" s="5366"/>
      <c r="BK47" s="5367"/>
      <c r="BL47" s="5367"/>
      <c r="BM47" s="5367"/>
      <c r="BN47" s="5367"/>
      <c r="BO47" s="5367"/>
      <c r="BP47" s="5367"/>
      <c r="BQ47" s="5368"/>
      <c r="BR47" s="5366"/>
      <c r="BS47" s="5367"/>
      <c r="BT47" s="5367"/>
      <c r="BU47" s="5367"/>
      <c r="BV47" s="5367"/>
      <c r="BW47" s="5367"/>
      <c r="BX47" s="5367"/>
      <c r="BY47" s="5368"/>
      <c r="BZ47" s="5366"/>
      <c r="CA47" s="5367"/>
      <c r="CB47" s="5367"/>
      <c r="CC47" s="5367"/>
      <c r="CD47" s="5367"/>
      <c r="CE47" s="5367"/>
      <c r="CF47" s="5367"/>
      <c r="CG47" s="5368"/>
      <c r="CH47" s="5366"/>
      <c r="CI47" s="5367"/>
      <c r="CJ47" s="5367"/>
      <c r="CK47" s="5367"/>
      <c r="CL47" s="5367"/>
      <c r="CM47" s="5367"/>
      <c r="CN47" s="5367"/>
      <c r="CO47" s="5368"/>
      <c r="CP47" s="5366"/>
      <c r="CQ47" s="5367"/>
      <c r="CR47" s="5367"/>
      <c r="CS47" s="5367"/>
      <c r="CT47" s="5367"/>
      <c r="CU47" s="5367"/>
      <c r="CV47" s="5367"/>
      <c r="CW47" s="5368"/>
      <c r="CX47" s="5366"/>
      <c r="CY47" s="5367"/>
      <c r="CZ47" s="5367"/>
      <c r="DA47" s="5367"/>
      <c r="DB47" s="5367"/>
      <c r="DC47" s="5367"/>
      <c r="DD47" s="5367"/>
      <c r="DE47" s="5369"/>
      <c r="DF47" s="5368"/>
      <c r="DG47" s="1184" t="s">
        <v>432</v>
      </c>
      <c r="DI47" s="436"/>
      <c r="DJ47" s="436" t="str">
        <f t="shared" si="1"/>
        <v>Схема подключения теплопотребляющей установки к коллектору источника тепловой энергии</v>
      </c>
      <c r="DK47" s="436"/>
      <c r="DL47" s="436"/>
      <c r="DM47" s="1081">
        <v>47</v>
      </c>
    </row>
    <row r="48" spans="1:117" ht="21.95" customHeight="1">
      <c r="A48" s="1289" t="s">
        <v>221</v>
      </c>
      <c r="B48" s="1289" t="s">
        <v>222</v>
      </c>
      <c r="C48" s="1289" t="s">
        <v>223</v>
      </c>
      <c r="D48" s="1289" t="s">
        <v>224</v>
      </c>
      <c r="E48" s="5382"/>
      <c r="F48" s="5382"/>
      <c r="G48" s="5382"/>
      <c r="H48" s="5382"/>
      <c r="I48" s="5384"/>
      <c r="J48" s="5383" t="str">
        <f>I47&amp;".1"</f>
        <v>1.1.1.1.1.1</v>
      </c>
      <c r="K48" s="1289"/>
      <c r="L48" s="1290" t="s">
        <v>433</v>
      </c>
      <c r="P48" s="5385"/>
      <c r="Q48" s="5385">
        <v>1</v>
      </c>
      <c r="R48" s="293"/>
      <c r="S48" s="1262" t="str">
        <f>$J48</f>
        <v>1.1.1.1.1.1</v>
      </c>
      <c r="T48" s="223" t="s">
        <v>434</v>
      </c>
      <c r="U48" s="237"/>
      <c r="V48" s="5366"/>
      <c r="W48" s="5367"/>
      <c r="X48" s="5367"/>
      <c r="Y48" s="5367"/>
      <c r="Z48" s="5367"/>
      <c r="AA48" s="5367"/>
      <c r="AB48" s="5367"/>
      <c r="AC48" s="5368"/>
      <c r="AD48" s="5366" t="s">
        <v>472</v>
      </c>
      <c r="AE48" s="5367"/>
      <c r="AF48" s="5367"/>
      <c r="AG48" s="5367"/>
      <c r="AH48" s="5367"/>
      <c r="AI48" s="5367"/>
      <c r="AJ48" s="5367"/>
      <c r="AK48" s="5367"/>
      <c r="AL48" s="5366"/>
      <c r="AM48" s="5367"/>
      <c r="AN48" s="5367"/>
      <c r="AO48" s="5367"/>
      <c r="AP48" s="5367"/>
      <c r="AQ48" s="5367"/>
      <c r="AR48" s="5367"/>
      <c r="AS48" s="5368"/>
      <c r="AT48" s="5366"/>
      <c r="AU48" s="5367"/>
      <c r="AV48" s="5367"/>
      <c r="AW48" s="5367"/>
      <c r="AX48" s="5367"/>
      <c r="AY48" s="5367"/>
      <c r="AZ48" s="5367"/>
      <c r="BA48" s="5368"/>
      <c r="BB48" s="5366"/>
      <c r="BC48" s="5367"/>
      <c r="BD48" s="5367"/>
      <c r="BE48" s="5367"/>
      <c r="BF48" s="5367"/>
      <c r="BG48" s="5367"/>
      <c r="BH48" s="5367"/>
      <c r="BI48" s="5368"/>
      <c r="BJ48" s="5366"/>
      <c r="BK48" s="5367"/>
      <c r="BL48" s="5367"/>
      <c r="BM48" s="5367"/>
      <c r="BN48" s="5367"/>
      <c r="BO48" s="5367"/>
      <c r="BP48" s="5367"/>
      <c r="BQ48" s="5368"/>
      <c r="BR48" s="5366"/>
      <c r="BS48" s="5367"/>
      <c r="BT48" s="5367"/>
      <c r="BU48" s="5367"/>
      <c r="BV48" s="5367"/>
      <c r="BW48" s="5367"/>
      <c r="BX48" s="5367"/>
      <c r="BY48" s="5368"/>
      <c r="BZ48" s="5366"/>
      <c r="CA48" s="5367"/>
      <c r="CB48" s="5367"/>
      <c r="CC48" s="5367"/>
      <c r="CD48" s="5367"/>
      <c r="CE48" s="5367"/>
      <c r="CF48" s="5367"/>
      <c r="CG48" s="5368"/>
      <c r="CH48" s="5366"/>
      <c r="CI48" s="5367"/>
      <c r="CJ48" s="5367"/>
      <c r="CK48" s="5367"/>
      <c r="CL48" s="5367"/>
      <c r="CM48" s="5367"/>
      <c r="CN48" s="5367"/>
      <c r="CO48" s="5368"/>
      <c r="CP48" s="5366"/>
      <c r="CQ48" s="5367"/>
      <c r="CR48" s="5367"/>
      <c r="CS48" s="5367"/>
      <c r="CT48" s="5367"/>
      <c r="CU48" s="5367"/>
      <c r="CV48" s="5367"/>
      <c r="CW48" s="5368"/>
      <c r="CX48" s="5366"/>
      <c r="CY48" s="5367"/>
      <c r="CZ48" s="5367"/>
      <c r="DA48" s="5367"/>
      <c r="DB48" s="5367"/>
      <c r="DC48" s="5367"/>
      <c r="DD48" s="5367"/>
      <c r="DE48" s="5369"/>
      <c r="DF48" s="5368"/>
      <c r="DG48" s="1184" t="s">
        <v>435</v>
      </c>
      <c r="DI48" s="436"/>
      <c r="DJ48" s="436" t="str">
        <f t="shared" si="1"/>
        <v>Группа потребителей</v>
      </c>
      <c r="DK48" s="436"/>
      <c r="DL48" s="436"/>
      <c r="DM48" s="1081">
        <v>21</v>
      </c>
    </row>
    <row r="49" spans="1:117" ht="21.95" customHeight="1">
      <c r="A49" s="1289" t="s">
        <v>221</v>
      </c>
      <c r="B49" s="1289" t="s">
        <v>222</v>
      </c>
      <c r="C49" s="1289" t="s">
        <v>223</v>
      </c>
      <c r="D49" s="1289" t="s">
        <v>224</v>
      </c>
      <c r="E49" s="5382"/>
      <c r="F49" s="5382"/>
      <c r="G49" s="5382"/>
      <c r="H49" s="5382"/>
      <c r="I49" s="5384"/>
      <c r="J49" s="5384"/>
      <c r="K49" s="5383" t="str">
        <f>J48&amp;".1"</f>
        <v>1.1.1.1.1.1.1</v>
      </c>
      <c r="L49" s="1290" t="s">
        <v>436</v>
      </c>
      <c r="P49" s="5385"/>
      <c r="Q49" s="5385"/>
      <c r="R49" s="293">
        <v>1</v>
      </c>
      <c r="S49" s="1262" t="str">
        <f>$K49</f>
        <v>1.1.1.1.1.1.1</v>
      </c>
      <c r="T49" s="1273" t="s">
        <v>473</v>
      </c>
      <c r="U49" s="237"/>
      <c r="V49" s="262"/>
      <c r="W49" s="687"/>
      <c r="X49" s="262"/>
      <c r="Y49" s="320"/>
      <c r="Z49" s="5386"/>
      <c r="AA49" s="5245" t="s">
        <v>65</v>
      </c>
      <c r="AB49" s="5386"/>
      <c r="AC49" s="5245" t="s">
        <v>65</v>
      </c>
      <c r="AD49" s="262"/>
      <c r="AE49" s="687">
        <v>145.86795000000001</v>
      </c>
      <c r="AF49" s="262"/>
      <c r="AG49" s="320"/>
      <c r="AH49" s="5386">
        <v>45292</v>
      </c>
      <c r="AI49" s="5245" t="s">
        <v>65</v>
      </c>
      <c r="AJ49" s="5388">
        <v>45473</v>
      </c>
      <c r="AK49" s="5245" t="s">
        <v>65</v>
      </c>
      <c r="AL49" s="262"/>
      <c r="AM49" s="687">
        <v>179.38197</v>
      </c>
      <c r="AN49" s="262"/>
      <c r="AO49" s="320"/>
      <c r="AP49" s="5386">
        <v>45474</v>
      </c>
      <c r="AQ49" s="5245" t="s">
        <v>65</v>
      </c>
      <c r="AR49" s="5386">
        <v>45657</v>
      </c>
      <c r="AS49" s="5245" t="s">
        <v>65</v>
      </c>
      <c r="AT49" s="262"/>
      <c r="AU49" s="687">
        <v>170.85208</v>
      </c>
      <c r="AV49" s="262"/>
      <c r="AW49" s="320"/>
      <c r="AX49" s="5386">
        <v>45658</v>
      </c>
      <c r="AY49" s="5245" t="s">
        <v>65</v>
      </c>
      <c r="AZ49" s="5386">
        <v>45838</v>
      </c>
      <c r="BA49" s="5245" t="s">
        <v>65</v>
      </c>
      <c r="BB49" s="262"/>
      <c r="BC49" s="687">
        <v>170.85208</v>
      </c>
      <c r="BD49" s="262"/>
      <c r="BE49" s="320"/>
      <c r="BF49" s="5386">
        <v>45839</v>
      </c>
      <c r="BG49" s="5245" t="s">
        <v>65</v>
      </c>
      <c r="BH49" s="5386">
        <v>46022</v>
      </c>
      <c r="BI49" s="5245" t="s">
        <v>65</v>
      </c>
      <c r="BJ49" s="262"/>
      <c r="BK49" s="687">
        <v>170.85208</v>
      </c>
      <c r="BL49" s="262"/>
      <c r="BM49" s="320"/>
      <c r="BN49" s="5386">
        <v>46023</v>
      </c>
      <c r="BO49" s="5245" t="s">
        <v>65</v>
      </c>
      <c r="BP49" s="5386">
        <v>46203</v>
      </c>
      <c r="BQ49" s="5245" t="s">
        <v>65</v>
      </c>
      <c r="BR49" s="262"/>
      <c r="BS49" s="687">
        <v>180.91338999999999</v>
      </c>
      <c r="BT49" s="262"/>
      <c r="BU49" s="320"/>
      <c r="BV49" s="5386">
        <v>46204</v>
      </c>
      <c r="BW49" s="5245" t="s">
        <v>65</v>
      </c>
      <c r="BX49" s="5386">
        <v>46387</v>
      </c>
      <c r="BY49" s="5245" t="s">
        <v>65</v>
      </c>
      <c r="BZ49" s="262"/>
      <c r="CA49" s="687">
        <v>180.64107999999999</v>
      </c>
      <c r="CB49" s="262"/>
      <c r="CC49" s="320"/>
      <c r="CD49" s="5386">
        <v>46388</v>
      </c>
      <c r="CE49" s="5245" t="s">
        <v>65</v>
      </c>
      <c r="CF49" s="5386">
        <v>46568</v>
      </c>
      <c r="CG49" s="5245" t="s">
        <v>65</v>
      </c>
      <c r="CH49" s="262"/>
      <c r="CI49" s="687">
        <v>180.64107999999999</v>
      </c>
      <c r="CJ49" s="262"/>
      <c r="CK49" s="320"/>
      <c r="CL49" s="5386">
        <v>46569</v>
      </c>
      <c r="CM49" s="5245" t="s">
        <v>65</v>
      </c>
      <c r="CN49" s="5386">
        <v>46752</v>
      </c>
      <c r="CO49" s="5245" t="s">
        <v>65</v>
      </c>
      <c r="CP49" s="262"/>
      <c r="CQ49" s="687">
        <v>180.64107999999999</v>
      </c>
      <c r="CR49" s="262"/>
      <c r="CS49" s="320"/>
      <c r="CT49" s="5386">
        <v>46753</v>
      </c>
      <c r="CU49" s="5245" t="s">
        <v>65</v>
      </c>
      <c r="CV49" s="5386">
        <v>46934</v>
      </c>
      <c r="CW49" s="5245" t="s">
        <v>65</v>
      </c>
      <c r="CX49" s="262"/>
      <c r="CY49" s="687">
        <v>189.10802000000001</v>
      </c>
      <c r="CZ49" s="262"/>
      <c r="DA49" s="320"/>
      <c r="DB49" s="5386">
        <v>46935</v>
      </c>
      <c r="DC49" s="5245" t="s">
        <v>65</v>
      </c>
      <c r="DD49" s="5386">
        <v>47118</v>
      </c>
      <c r="DE49" s="5245" t="s">
        <v>65</v>
      </c>
      <c r="DF49" s="1274"/>
      <c r="DG49" s="5405" t="s">
        <v>437</v>
      </c>
      <c r="DH49" s="447" t="e">
        <f ca="1">STRCHECKDATE(V50:DF50)</f>
        <v>#NAME?</v>
      </c>
      <c r="DI49" s="436"/>
      <c r="DJ49" s="436" t="str">
        <f t="shared" si="1"/>
        <v>вода</v>
      </c>
      <c r="DK49" s="436"/>
      <c r="DL49" s="436"/>
      <c r="DM49" s="1081">
        <v>21</v>
      </c>
    </row>
    <row r="50" spans="1:117" ht="1.1499999999999999" customHeight="1">
      <c r="A50" s="1289" t="s">
        <v>221</v>
      </c>
      <c r="B50" s="1289" t="s">
        <v>222</v>
      </c>
      <c r="C50" s="1289" t="s">
        <v>223</v>
      </c>
      <c r="D50" s="1289" t="s">
        <v>224</v>
      </c>
      <c r="E50" s="5382"/>
      <c r="F50" s="5382"/>
      <c r="G50" s="5382"/>
      <c r="H50" s="5382"/>
      <c r="I50" s="5384"/>
      <c r="J50" s="5384"/>
      <c r="K50" s="5383"/>
      <c r="L50" s="1290"/>
      <c r="P50" s="5385"/>
      <c r="Q50" s="5385"/>
      <c r="R50" s="293"/>
      <c r="S50" s="1268"/>
      <c r="T50" s="237"/>
      <c r="U50" s="237"/>
      <c r="V50" s="262"/>
      <c r="W50" s="262"/>
      <c r="X50" s="262"/>
      <c r="Y50" s="265" t="str">
        <f>Z49&amp;"-"&amp;AB49</f>
        <v>-</v>
      </c>
      <c r="Z50" s="5387"/>
      <c r="AA50" s="5245"/>
      <c r="AB50" s="5387"/>
      <c r="AC50" s="5245"/>
      <c r="AD50" s="262"/>
      <c r="AE50" s="262"/>
      <c r="AF50" s="262"/>
      <c r="AG50" s="265" t="str">
        <f>AH49&amp;"-"&amp;AJ49</f>
        <v>45292-45473</v>
      </c>
      <c r="AH50" s="5387"/>
      <c r="AI50" s="5245"/>
      <c r="AJ50" s="5389"/>
      <c r="AK50" s="5245"/>
      <c r="AL50" s="262"/>
      <c r="AM50" s="262"/>
      <c r="AN50" s="262"/>
      <c r="AO50" s="265" t="str">
        <f>AP49&amp;"-"&amp;AR49</f>
        <v>45474-45657</v>
      </c>
      <c r="AP50" s="5387"/>
      <c r="AQ50" s="5245"/>
      <c r="AR50" s="5387"/>
      <c r="AS50" s="5245"/>
      <c r="AT50" s="262"/>
      <c r="AU50" s="262"/>
      <c r="AV50" s="262"/>
      <c r="AW50" s="265" t="str">
        <f>AX49&amp;"-"&amp;AZ49</f>
        <v>45658-45838</v>
      </c>
      <c r="AX50" s="5387"/>
      <c r="AY50" s="5245"/>
      <c r="AZ50" s="5387"/>
      <c r="BA50" s="5245"/>
      <c r="BB50" s="262"/>
      <c r="BC50" s="262"/>
      <c r="BD50" s="262"/>
      <c r="BE50" s="265" t="str">
        <f>BF49&amp;"-"&amp;BH49</f>
        <v>45839-46022</v>
      </c>
      <c r="BF50" s="5387"/>
      <c r="BG50" s="5245"/>
      <c r="BH50" s="5387"/>
      <c r="BI50" s="5245"/>
      <c r="BJ50" s="262"/>
      <c r="BK50" s="262"/>
      <c r="BL50" s="262"/>
      <c r="BM50" s="265" t="str">
        <f>BN49&amp;"-"&amp;BP49</f>
        <v>46023-46203</v>
      </c>
      <c r="BN50" s="5387"/>
      <c r="BO50" s="5245"/>
      <c r="BP50" s="5387"/>
      <c r="BQ50" s="5245"/>
      <c r="BR50" s="262"/>
      <c r="BS50" s="262"/>
      <c r="BT50" s="262"/>
      <c r="BU50" s="265" t="str">
        <f>BV49&amp;"-"&amp;BX49</f>
        <v>46204-46387</v>
      </c>
      <c r="BV50" s="5387"/>
      <c r="BW50" s="5245"/>
      <c r="BX50" s="5387"/>
      <c r="BY50" s="5245"/>
      <c r="BZ50" s="262"/>
      <c r="CA50" s="262"/>
      <c r="CB50" s="262"/>
      <c r="CC50" s="265" t="str">
        <f>CD49&amp;"-"&amp;CF49</f>
        <v>46388-46568</v>
      </c>
      <c r="CD50" s="5387"/>
      <c r="CE50" s="5245"/>
      <c r="CF50" s="5387"/>
      <c r="CG50" s="5245"/>
      <c r="CH50" s="262"/>
      <c r="CI50" s="262"/>
      <c r="CJ50" s="262"/>
      <c r="CK50" s="265" t="str">
        <f>CL49&amp;"-"&amp;CN49</f>
        <v>46569-46752</v>
      </c>
      <c r="CL50" s="5387"/>
      <c r="CM50" s="5245"/>
      <c r="CN50" s="5387"/>
      <c r="CO50" s="5245"/>
      <c r="CP50" s="262"/>
      <c r="CQ50" s="262"/>
      <c r="CR50" s="262"/>
      <c r="CS50" s="265" t="str">
        <f>CT49&amp;"-"&amp;CV49</f>
        <v>46753-46934</v>
      </c>
      <c r="CT50" s="5387"/>
      <c r="CU50" s="5245"/>
      <c r="CV50" s="5387"/>
      <c r="CW50" s="5245"/>
      <c r="CX50" s="262"/>
      <c r="CY50" s="262"/>
      <c r="CZ50" s="262"/>
      <c r="DA50" s="265" t="str">
        <f>DB49&amp;"-"&amp;DD49</f>
        <v>46935-47118</v>
      </c>
      <c r="DB50" s="5387"/>
      <c r="DC50" s="5245"/>
      <c r="DD50" s="5387"/>
      <c r="DE50" s="5245"/>
      <c r="DF50" s="1275"/>
      <c r="DG50" s="5406"/>
      <c r="DI50" s="436"/>
      <c r="DJ50" s="436" t="str">
        <f t="shared" si="1"/>
        <v/>
      </c>
      <c r="DK50" s="436"/>
      <c r="DL50" s="436"/>
      <c r="DM50" s="1081">
        <v>1</v>
      </c>
    </row>
    <row r="51" spans="1:117" ht="11.45" customHeight="1">
      <c r="A51" s="1289" t="s">
        <v>221</v>
      </c>
      <c r="B51" s="1289" t="s">
        <v>222</v>
      </c>
      <c r="C51" s="1289" t="s">
        <v>223</v>
      </c>
      <c r="D51" s="1289" t="s">
        <v>224</v>
      </c>
      <c r="E51" s="5382"/>
      <c r="F51" s="5382"/>
      <c r="G51" s="5382"/>
      <c r="H51" s="5382"/>
      <c r="I51" s="5384"/>
      <c r="J51" s="5383"/>
      <c r="K51" s="1289"/>
      <c r="L51" s="1290"/>
      <c r="P51" s="5385"/>
      <c r="Q51" s="5385"/>
      <c r="R51" s="292"/>
      <c r="S51" s="1204"/>
      <c r="T51" s="225" t="s">
        <v>438</v>
      </c>
      <c r="U51" s="303"/>
      <c r="V51" s="303"/>
      <c r="W51" s="303"/>
      <c r="X51" s="303"/>
      <c r="Y51" s="303"/>
      <c r="Z51" s="303"/>
      <c r="AA51" s="303"/>
      <c r="AB51" s="303"/>
      <c r="AC51" s="303"/>
      <c r="AD51" s="303"/>
      <c r="AE51" s="303"/>
      <c r="AF51" s="303"/>
      <c r="AG51" s="303"/>
      <c r="AH51" s="303"/>
      <c r="AI51" s="303"/>
      <c r="AJ51" s="303"/>
      <c r="AK51" s="303"/>
      <c r="AL51" s="3926"/>
      <c r="AM51" s="3927"/>
      <c r="AN51" s="3928"/>
      <c r="AO51" s="3929"/>
      <c r="AP51" s="3930"/>
      <c r="AQ51" s="3931"/>
      <c r="AR51" s="3932"/>
      <c r="AS51" s="3933"/>
      <c r="AT51" s="3934"/>
      <c r="AU51" s="3935"/>
      <c r="AV51" s="3936"/>
      <c r="AW51" s="3937"/>
      <c r="AX51" s="3938"/>
      <c r="AY51" s="3939"/>
      <c r="AZ51" s="3940"/>
      <c r="BA51" s="3941"/>
      <c r="BB51" s="3942"/>
      <c r="BC51" s="3943"/>
      <c r="BD51" s="3944"/>
      <c r="BE51" s="3945"/>
      <c r="BF51" s="3946"/>
      <c r="BG51" s="3947"/>
      <c r="BH51" s="3948"/>
      <c r="BI51" s="3949"/>
      <c r="BJ51" s="3950"/>
      <c r="BK51" s="3951"/>
      <c r="BL51" s="3952"/>
      <c r="BM51" s="3953"/>
      <c r="BN51" s="3954"/>
      <c r="BO51" s="3955"/>
      <c r="BP51" s="3956"/>
      <c r="BQ51" s="3957"/>
      <c r="BR51" s="3958"/>
      <c r="BS51" s="3959"/>
      <c r="BT51" s="3960"/>
      <c r="BU51" s="3961"/>
      <c r="BV51" s="3962"/>
      <c r="BW51" s="3963"/>
      <c r="BX51" s="3964"/>
      <c r="BY51" s="3965"/>
      <c r="BZ51" s="3966"/>
      <c r="CA51" s="3967"/>
      <c r="CB51" s="3968"/>
      <c r="CC51" s="3969"/>
      <c r="CD51" s="3970"/>
      <c r="CE51" s="3971"/>
      <c r="CF51" s="3972"/>
      <c r="CG51" s="3973"/>
      <c r="CH51" s="3974"/>
      <c r="CI51" s="3975"/>
      <c r="CJ51" s="3976"/>
      <c r="CK51" s="3977"/>
      <c r="CL51" s="3978"/>
      <c r="CM51" s="3979"/>
      <c r="CN51" s="3980"/>
      <c r="CO51" s="3981"/>
      <c r="CP51" s="3982"/>
      <c r="CQ51" s="3983"/>
      <c r="CR51" s="3984"/>
      <c r="CS51" s="3985"/>
      <c r="CT51" s="3986"/>
      <c r="CU51" s="3987"/>
      <c r="CV51" s="3988"/>
      <c r="CW51" s="3989"/>
      <c r="CX51" s="3990"/>
      <c r="CY51" s="3991"/>
      <c r="CZ51" s="3992"/>
      <c r="DA51" s="3993"/>
      <c r="DB51" s="3994"/>
      <c r="DC51" s="3995"/>
      <c r="DD51" s="3996"/>
      <c r="DE51" s="5185"/>
      <c r="DF51" s="261"/>
      <c r="DG51" s="5407"/>
      <c r="DI51" s="436"/>
      <c r="DJ51" s="436" t="str">
        <f t="shared" si="1"/>
        <v>Добавить вид теплоносителя (параметры теплоносителя)</v>
      </c>
      <c r="DK51" s="436"/>
      <c r="DL51" s="436"/>
      <c r="DM51" s="1081">
        <v>11</v>
      </c>
    </row>
    <row r="52" spans="1:117" ht="11.45" customHeight="1">
      <c r="A52" s="1289" t="s">
        <v>221</v>
      </c>
      <c r="B52" s="1289" t="s">
        <v>222</v>
      </c>
      <c r="C52" s="1289" t="s">
        <v>223</v>
      </c>
      <c r="D52" s="1289" t="s">
        <v>224</v>
      </c>
      <c r="E52" s="5382"/>
      <c r="F52" s="5382"/>
      <c r="G52" s="5382"/>
      <c r="H52" s="5382"/>
      <c r="I52" s="5383"/>
      <c r="J52" s="1289"/>
      <c r="K52" s="1289"/>
      <c r="L52" s="1290"/>
      <c r="P52" s="5385"/>
      <c r="Q52" s="1257"/>
      <c r="R52" s="292"/>
      <c r="S52" s="1204"/>
      <c r="T52" s="224" t="s">
        <v>439</v>
      </c>
      <c r="U52" s="303"/>
      <c r="V52" s="303"/>
      <c r="W52" s="303"/>
      <c r="X52" s="303"/>
      <c r="Y52" s="303"/>
      <c r="Z52" s="303"/>
      <c r="AA52" s="303"/>
      <c r="AB52" s="303"/>
      <c r="AC52" s="302"/>
      <c r="AD52" s="303"/>
      <c r="AE52" s="303"/>
      <c r="AF52" s="303"/>
      <c r="AG52" s="303"/>
      <c r="AH52" s="303"/>
      <c r="AI52" s="303"/>
      <c r="AJ52" s="303"/>
      <c r="AK52" s="302"/>
      <c r="AL52" s="3997"/>
      <c r="AM52" s="3998"/>
      <c r="AN52" s="3999"/>
      <c r="AO52" s="4000"/>
      <c r="AP52" s="4001"/>
      <c r="AQ52" s="4002"/>
      <c r="AR52" s="4003"/>
      <c r="AS52" s="4004"/>
      <c r="AT52" s="4005"/>
      <c r="AU52" s="4006"/>
      <c r="AV52" s="4007"/>
      <c r="AW52" s="4008"/>
      <c r="AX52" s="4009"/>
      <c r="AY52" s="4010"/>
      <c r="AZ52" s="4011"/>
      <c r="BA52" s="4012"/>
      <c r="BB52" s="4013"/>
      <c r="BC52" s="4014"/>
      <c r="BD52" s="4015"/>
      <c r="BE52" s="4016"/>
      <c r="BF52" s="4017"/>
      <c r="BG52" s="4018"/>
      <c r="BH52" s="4019"/>
      <c r="BI52" s="4020"/>
      <c r="BJ52" s="4021"/>
      <c r="BK52" s="4022"/>
      <c r="BL52" s="4023"/>
      <c r="BM52" s="4024"/>
      <c r="BN52" s="4025"/>
      <c r="BO52" s="4026"/>
      <c r="BP52" s="4027"/>
      <c r="BQ52" s="4028"/>
      <c r="BR52" s="4029"/>
      <c r="BS52" s="4030"/>
      <c r="BT52" s="4031"/>
      <c r="BU52" s="4032"/>
      <c r="BV52" s="4033"/>
      <c r="BW52" s="4034"/>
      <c r="BX52" s="4035"/>
      <c r="BY52" s="4036"/>
      <c r="BZ52" s="4037"/>
      <c r="CA52" s="4038"/>
      <c r="CB52" s="4039"/>
      <c r="CC52" s="4040"/>
      <c r="CD52" s="4041"/>
      <c r="CE52" s="4042"/>
      <c r="CF52" s="4043"/>
      <c r="CG52" s="4044"/>
      <c r="CH52" s="4045"/>
      <c r="CI52" s="4046"/>
      <c r="CJ52" s="4047"/>
      <c r="CK52" s="4048"/>
      <c r="CL52" s="4049"/>
      <c r="CM52" s="4050"/>
      <c r="CN52" s="4051"/>
      <c r="CO52" s="4052"/>
      <c r="CP52" s="4053"/>
      <c r="CQ52" s="4054"/>
      <c r="CR52" s="4055"/>
      <c r="CS52" s="4056"/>
      <c r="CT52" s="4057"/>
      <c r="CU52" s="4058"/>
      <c r="CV52" s="4059"/>
      <c r="CW52" s="4060"/>
      <c r="CX52" s="4061"/>
      <c r="CY52" s="4062"/>
      <c r="CZ52" s="4063"/>
      <c r="DA52" s="4064"/>
      <c r="DB52" s="4065"/>
      <c r="DC52" s="4066"/>
      <c r="DD52" s="4067"/>
      <c r="DE52" s="5186"/>
      <c r="DF52" s="303"/>
      <c r="DG52" s="240"/>
      <c r="DI52" s="436"/>
      <c r="DJ52" s="436" t="str">
        <f t="shared" si="1"/>
        <v>Добавить группу потребителей</v>
      </c>
      <c r="DK52" s="436"/>
      <c r="DL52" s="436"/>
      <c r="DM52" s="1081">
        <v>11</v>
      </c>
    </row>
    <row r="53" spans="1:117" ht="14.65" customHeight="1">
      <c r="A53" s="1289" t="s">
        <v>221</v>
      </c>
      <c r="B53" s="1289" t="s">
        <v>222</v>
      </c>
      <c r="C53" s="1289" t="s">
        <v>223</v>
      </c>
      <c r="D53" s="1289" t="s">
        <v>224</v>
      </c>
      <c r="E53" s="5382"/>
      <c r="F53" s="5382"/>
      <c r="G53" s="5382"/>
      <c r="H53" s="5381"/>
      <c r="I53" s="1289"/>
      <c r="J53" s="1289"/>
      <c r="K53" s="1289"/>
      <c r="L53" s="1290"/>
      <c r="M53" s="1291"/>
      <c r="N53" s="1291"/>
      <c r="O53" s="473"/>
      <c r="P53" s="296"/>
      <c r="Q53" s="311"/>
      <c r="R53" s="291"/>
      <c r="S53" s="1204"/>
      <c r="T53" s="301" t="s">
        <v>440</v>
      </c>
      <c r="U53" s="303"/>
      <c r="V53" s="303"/>
      <c r="W53" s="303"/>
      <c r="X53" s="303"/>
      <c r="Y53" s="303"/>
      <c r="Z53" s="303"/>
      <c r="AA53" s="303"/>
      <c r="AB53" s="303"/>
      <c r="AC53" s="302"/>
      <c r="AD53" s="303"/>
      <c r="AE53" s="303"/>
      <c r="AF53" s="303"/>
      <c r="AG53" s="303"/>
      <c r="AH53" s="303"/>
      <c r="AI53" s="303"/>
      <c r="AJ53" s="303"/>
      <c r="AK53" s="302"/>
      <c r="AL53" s="4068"/>
      <c r="AM53" s="4069"/>
      <c r="AN53" s="4070"/>
      <c r="AO53" s="4071"/>
      <c r="AP53" s="4072"/>
      <c r="AQ53" s="4073"/>
      <c r="AR53" s="4074"/>
      <c r="AS53" s="4075"/>
      <c r="AT53" s="4076"/>
      <c r="AU53" s="4077"/>
      <c r="AV53" s="4078"/>
      <c r="AW53" s="4079"/>
      <c r="AX53" s="4080"/>
      <c r="AY53" s="4081"/>
      <c r="AZ53" s="4082"/>
      <c r="BA53" s="4083"/>
      <c r="BB53" s="4084"/>
      <c r="BC53" s="4085"/>
      <c r="BD53" s="4086"/>
      <c r="BE53" s="4087"/>
      <c r="BF53" s="4088"/>
      <c r="BG53" s="4089"/>
      <c r="BH53" s="4090"/>
      <c r="BI53" s="4091"/>
      <c r="BJ53" s="4092"/>
      <c r="BK53" s="4093"/>
      <c r="BL53" s="4094"/>
      <c r="BM53" s="4095"/>
      <c r="BN53" s="4096"/>
      <c r="BO53" s="4097"/>
      <c r="BP53" s="4098"/>
      <c r="BQ53" s="4099"/>
      <c r="BR53" s="4100"/>
      <c r="BS53" s="4101"/>
      <c r="BT53" s="4102"/>
      <c r="BU53" s="4103"/>
      <c r="BV53" s="4104"/>
      <c r="BW53" s="4105"/>
      <c r="BX53" s="4106"/>
      <c r="BY53" s="4107"/>
      <c r="BZ53" s="4108"/>
      <c r="CA53" s="4109"/>
      <c r="CB53" s="4110"/>
      <c r="CC53" s="4111"/>
      <c r="CD53" s="4112"/>
      <c r="CE53" s="4113"/>
      <c r="CF53" s="4114"/>
      <c r="CG53" s="4115"/>
      <c r="CH53" s="4116"/>
      <c r="CI53" s="4117"/>
      <c r="CJ53" s="4118"/>
      <c r="CK53" s="4119"/>
      <c r="CL53" s="4120"/>
      <c r="CM53" s="4121"/>
      <c r="CN53" s="4122"/>
      <c r="CO53" s="4123"/>
      <c r="CP53" s="4124"/>
      <c r="CQ53" s="4125"/>
      <c r="CR53" s="4126"/>
      <c r="CS53" s="4127"/>
      <c r="CT53" s="4128"/>
      <c r="CU53" s="4129"/>
      <c r="CV53" s="4130"/>
      <c r="CW53" s="4131"/>
      <c r="CX53" s="4132"/>
      <c r="CY53" s="4133"/>
      <c r="CZ53" s="4134"/>
      <c r="DA53" s="4135"/>
      <c r="DB53" s="4136"/>
      <c r="DC53" s="4137"/>
      <c r="DD53" s="4138"/>
      <c r="DE53" s="5187"/>
      <c r="DF53" s="303"/>
      <c r="DG53" s="240"/>
      <c r="DI53" s="436"/>
      <c r="DJ53" s="436" t="str">
        <f t="shared" si="1"/>
        <v>Добавить схему подключения</v>
      </c>
      <c r="DK53" s="436"/>
      <c r="DL53" s="436"/>
      <c r="DM53" s="1081">
        <v>14</v>
      </c>
    </row>
    <row r="54" spans="1:117" s="1568" customFormat="1" ht="1.1499999999999999" customHeight="1">
      <c r="A54" s="1269" t="s">
        <v>221</v>
      </c>
      <c r="B54" s="1269" t="s">
        <v>222</v>
      </c>
      <c r="C54" s="1269" t="s">
        <v>223</v>
      </c>
      <c r="D54" s="1240"/>
      <c r="E54" s="5382"/>
      <c r="F54" s="5382"/>
      <c r="G54" s="5381"/>
      <c r="H54" s="1240"/>
      <c r="I54" s="1240"/>
      <c r="J54" s="1240"/>
      <c r="K54" s="1240"/>
      <c r="L54" s="1265"/>
      <c r="M54" s="1241"/>
      <c r="N54" s="1241"/>
      <c r="P54" s="1242"/>
      <c r="Q54" s="1243"/>
      <c r="R54" s="1242"/>
      <c r="S54" s="1248"/>
      <c r="T54" s="1251" t="s">
        <v>163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c r="CB54" s="1250"/>
      <c r="CC54" s="1250"/>
      <c r="CD54" s="1250"/>
      <c r="CE54" s="1250"/>
      <c r="CF54" s="1250"/>
      <c r="CG54" s="1250"/>
      <c r="CH54" s="1250"/>
      <c r="CI54" s="1250"/>
      <c r="CJ54" s="1250"/>
      <c r="CK54" s="1250"/>
      <c r="CL54" s="1250"/>
      <c r="CM54" s="1250"/>
      <c r="CN54" s="1250"/>
      <c r="CO54" s="1250"/>
      <c r="CP54" s="1250"/>
      <c r="CQ54" s="1250"/>
      <c r="CR54" s="1250"/>
      <c r="CS54" s="1250"/>
      <c r="CT54" s="1250"/>
      <c r="CU54" s="1250"/>
      <c r="CV54" s="1250"/>
      <c r="CW54" s="1250"/>
      <c r="CX54" s="1250"/>
      <c r="CY54" s="1250"/>
      <c r="CZ54" s="1250"/>
      <c r="DA54" s="1250"/>
      <c r="DB54" s="1250"/>
      <c r="DC54" s="1250"/>
      <c r="DD54" s="1250"/>
      <c r="DE54" s="1250"/>
      <c r="DF54" s="1250"/>
      <c r="DG54" s="1250"/>
      <c r="DI54" s="719"/>
      <c r="DJ54" s="719" t="str">
        <f t="shared" si="1"/>
        <v>Добавить источник для дифференциации</v>
      </c>
      <c r="DK54" s="719"/>
      <c r="DL54" s="719"/>
      <c r="DM54" s="454">
        <v>1</v>
      </c>
    </row>
    <row r="55" spans="1:117" s="1568" customFormat="1" ht="1.1499999999999999" customHeight="1">
      <c r="A55" s="1269" t="s">
        <v>221</v>
      </c>
      <c r="B55" s="1269" t="s">
        <v>222</v>
      </c>
      <c r="C55" s="1240"/>
      <c r="D55" s="1240"/>
      <c r="E55" s="5382"/>
      <c r="F55" s="5381"/>
      <c r="G55" s="1240"/>
      <c r="H55" s="1240"/>
      <c r="I55" s="1240"/>
      <c r="J55" s="1240"/>
      <c r="K55" s="1240"/>
      <c r="L55" s="1265"/>
      <c r="M55" s="1247"/>
      <c r="N55" s="1247"/>
      <c r="P55" s="1242"/>
      <c r="Q55" s="1243"/>
      <c r="R55" s="1242"/>
      <c r="S55" s="1248"/>
      <c r="T55" s="1251" t="s">
        <v>164</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c r="CB55" s="1250"/>
      <c r="CC55" s="1250"/>
      <c r="CD55" s="1250"/>
      <c r="CE55" s="1250"/>
      <c r="CF55" s="1250"/>
      <c r="CG55" s="1250"/>
      <c r="CH55" s="1250"/>
      <c r="CI55" s="1250"/>
      <c r="CJ55" s="1250"/>
      <c r="CK55" s="1250"/>
      <c r="CL55" s="1250"/>
      <c r="CM55" s="1250"/>
      <c r="CN55" s="1250"/>
      <c r="CO55" s="1250"/>
      <c r="CP55" s="1250"/>
      <c r="CQ55" s="1250"/>
      <c r="CR55" s="1250"/>
      <c r="CS55" s="1250"/>
      <c r="CT55" s="1250"/>
      <c r="CU55" s="1250"/>
      <c r="CV55" s="1250"/>
      <c r="CW55" s="1250"/>
      <c r="CX55" s="1250"/>
      <c r="CY55" s="1250"/>
      <c r="CZ55" s="1250"/>
      <c r="DA55" s="1250"/>
      <c r="DB55" s="1250"/>
      <c r="DC55" s="1250"/>
      <c r="DD55" s="1250"/>
      <c r="DE55" s="1250"/>
      <c r="DF55" s="1250"/>
      <c r="DG55" s="1250"/>
      <c r="DI55" s="719"/>
      <c r="DJ55" s="719" t="str">
        <f t="shared" si="1"/>
        <v>Добавить централизованную систему для дифференциации</v>
      </c>
      <c r="DK55" s="719"/>
      <c r="DL55" s="719"/>
      <c r="DM55" s="454">
        <v>1</v>
      </c>
    </row>
    <row r="56" spans="1:117" s="1568" customFormat="1" ht="1.1499999999999999" customHeight="1">
      <c r="A56" s="1269" t="s">
        <v>221</v>
      </c>
      <c r="B56" s="1269"/>
      <c r="C56" s="1269"/>
      <c r="D56" s="1269"/>
      <c r="E56" s="5381"/>
      <c r="F56" s="1269"/>
      <c r="G56" s="1269"/>
      <c r="H56" s="1269"/>
      <c r="I56" s="1269"/>
      <c r="J56" s="1269"/>
      <c r="K56" s="1269"/>
      <c r="L56" s="1272"/>
      <c r="M56" s="1247"/>
      <c r="N56" s="1247"/>
      <c r="O56" s="454"/>
      <c r="P56" s="316"/>
      <c r="Q56" s="1270"/>
      <c r="R56" s="316"/>
      <c r="S56" s="1248"/>
      <c r="T56" s="1251" t="s">
        <v>165</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c r="CB56" s="1250"/>
      <c r="CC56" s="1250"/>
      <c r="CD56" s="1250"/>
      <c r="CE56" s="1250"/>
      <c r="CF56" s="1250"/>
      <c r="CG56" s="1250"/>
      <c r="CH56" s="1250"/>
      <c r="CI56" s="1250"/>
      <c r="CJ56" s="1250"/>
      <c r="CK56" s="1250"/>
      <c r="CL56" s="1250"/>
      <c r="CM56" s="1250"/>
      <c r="CN56" s="1250"/>
      <c r="CO56" s="1250"/>
      <c r="CP56" s="1250"/>
      <c r="CQ56" s="1250"/>
      <c r="CR56" s="1250"/>
      <c r="CS56" s="1250"/>
      <c r="CT56" s="1250"/>
      <c r="CU56" s="1250"/>
      <c r="CV56" s="1250"/>
      <c r="CW56" s="1250"/>
      <c r="CX56" s="1250"/>
      <c r="CY56" s="1250"/>
      <c r="CZ56" s="1250"/>
      <c r="DA56" s="1250"/>
      <c r="DB56" s="1250"/>
      <c r="DC56" s="1250"/>
      <c r="DD56" s="1250"/>
      <c r="DE56" s="1250"/>
      <c r="DF56" s="1250"/>
      <c r="DG56" s="1250"/>
      <c r="DI56" s="436"/>
      <c r="DJ56" s="436" t="str">
        <f t="shared" si="1"/>
        <v>Добавить территорию для дифференциации</v>
      </c>
      <c r="DK56" s="436"/>
      <c r="DL56" s="436"/>
      <c r="DM56" s="447">
        <v>1</v>
      </c>
    </row>
    <row r="57" spans="1:117"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182</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c r="CB57" s="1250"/>
      <c r="CC57" s="1250"/>
      <c r="CD57" s="1250"/>
      <c r="CE57" s="1250"/>
      <c r="CF57" s="1250"/>
      <c r="CG57" s="1250"/>
      <c r="CH57" s="1250"/>
      <c r="CI57" s="1250"/>
      <c r="CJ57" s="1250"/>
      <c r="CK57" s="1250"/>
      <c r="CL57" s="1250"/>
      <c r="CM57" s="1250"/>
      <c r="CN57" s="1250"/>
      <c r="CO57" s="1250"/>
      <c r="CP57" s="1250"/>
      <c r="CQ57" s="1250"/>
      <c r="CR57" s="1250"/>
      <c r="CS57" s="1250"/>
      <c r="CT57" s="1250"/>
      <c r="CU57" s="1250"/>
      <c r="CV57" s="1250"/>
      <c r="CW57" s="1250"/>
      <c r="CX57" s="1250"/>
      <c r="CY57" s="1250"/>
      <c r="CZ57" s="1250"/>
      <c r="DA57" s="1250"/>
      <c r="DB57" s="1250"/>
      <c r="DC57" s="1250"/>
      <c r="DD57" s="1250"/>
      <c r="DE57" s="1250"/>
      <c r="DF57" s="1250"/>
      <c r="DG57" s="1250"/>
      <c r="DI57" s="719"/>
      <c r="DJ57" s="719" t="str">
        <f t="shared" si="1"/>
        <v>Добавить наименование тарифа</v>
      </c>
      <c r="DK57" s="719"/>
      <c r="DL57" s="719"/>
      <c r="DM57" s="454">
        <v>1</v>
      </c>
    </row>
    <row r="58" spans="1:117" ht="11.45" customHeight="1">
      <c r="M58" s="1086"/>
      <c r="N58" s="1086"/>
      <c r="O58" s="473"/>
      <c r="P58" s="1081"/>
      <c r="Q58" s="1081"/>
      <c r="R58" s="1081"/>
      <c r="S58" s="1081"/>
      <c r="AL58" s="1561"/>
      <c r="AM58" s="1561"/>
      <c r="AN58" s="1561"/>
      <c r="AO58" s="1561"/>
      <c r="AP58" s="1561"/>
      <c r="AQ58" s="1561"/>
      <c r="AR58" s="1561"/>
      <c r="AS58" s="1561"/>
      <c r="AT58" s="1561"/>
      <c r="AU58" s="1561"/>
      <c r="AV58" s="1561"/>
      <c r="AW58" s="1561"/>
      <c r="AX58" s="1561"/>
      <c r="AY58" s="1561"/>
      <c r="AZ58" s="1561"/>
      <c r="BA58" s="1561"/>
      <c r="BB58" s="1561"/>
      <c r="BC58" s="1561"/>
      <c r="BD58" s="1561"/>
      <c r="BE58" s="1561"/>
      <c r="BF58" s="1561"/>
      <c r="BG58" s="1561"/>
      <c r="BH58" s="1561"/>
      <c r="BI58" s="1561"/>
      <c r="BJ58" s="1561"/>
      <c r="BK58" s="1561"/>
      <c r="BL58" s="1561"/>
      <c r="BM58" s="1561"/>
      <c r="BN58" s="1561"/>
      <c r="BO58" s="1561"/>
      <c r="BP58" s="1561"/>
      <c r="BQ58" s="1561"/>
      <c r="BR58" s="1561"/>
      <c r="BS58" s="1561"/>
      <c r="BT58" s="1561"/>
      <c r="BU58" s="1561"/>
      <c r="BV58" s="1561"/>
      <c r="BW58" s="1561"/>
      <c r="BX58" s="1561"/>
      <c r="BY58" s="1561"/>
      <c r="BZ58" s="1561"/>
      <c r="CA58" s="1561"/>
      <c r="CB58" s="1561"/>
      <c r="CC58" s="1561"/>
      <c r="CD58" s="1561"/>
      <c r="CE58" s="1561"/>
      <c r="CF58" s="1561"/>
      <c r="CG58" s="1561"/>
      <c r="CH58" s="1561"/>
      <c r="CI58" s="1561"/>
      <c r="CJ58" s="1561"/>
      <c r="CK58" s="1561"/>
      <c r="CL58" s="1561"/>
      <c r="CM58" s="1561"/>
      <c r="CN58" s="1561"/>
      <c r="CO58" s="1561"/>
      <c r="CP58" s="1561"/>
      <c r="CQ58" s="1561"/>
      <c r="CR58" s="1561"/>
      <c r="CS58" s="1561"/>
      <c r="CT58" s="1561"/>
      <c r="CU58" s="1561"/>
      <c r="CV58" s="1561"/>
      <c r="CW58" s="1561"/>
      <c r="CX58" s="1561"/>
      <c r="CY58" s="1561"/>
      <c r="CZ58" s="1561"/>
      <c r="DA58" s="1561"/>
      <c r="DB58" s="1561"/>
      <c r="DC58" s="1561"/>
      <c r="DD58" s="1561"/>
      <c r="DE58" s="5155"/>
      <c r="DH58" s="1081"/>
      <c r="DI58" s="1081"/>
      <c r="DJ58" s="1081"/>
      <c r="DK58" s="1081"/>
      <c r="DL58" s="1081"/>
      <c r="DM58" s="1081">
        <v>11</v>
      </c>
    </row>
    <row r="59" spans="1:117" ht="28.5" customHeight="1">
      <c r="O59" s="473"/>
      <c r="S59" s="1179"/>
      <c r="T59" s="5379"/>
      <c r="U59" s="5379"/>
      <c r="V59" s="5379"/>
      <c r="W59" s="5379"/>
      <c r="X59" s="5379"/>
      <c r="Y59" s="5379"/>
      <c r="Z59" s="5379"/>
      <c r="AA59" s="5379"/>
      <c r="AB59" s="5379"/>
      <c r="AC59" s="5379"/>
      <c r="AD59" s="5379"/>
      <c r="AE59" s="5379"/>
      <c r="AF59" s="5379"/>
      <c r="AG59" s="5379"/>
      <c r="AH59" s="5379"/>
      <c r="AI59" s="5379"/>
      <c r="AJ59" s="5379"/>
      <c r="AK59" s="5379"/>
      <c r="AL59" s="5379"/>
      <c r="AM59" s="5379"/>
      <c r="AN59" s="5379"/>
      <c r="AO59" s="5379"/>
      <c r="AP59" s="5379"/>
      <c r="AQ59" s="5379"/>
      <c r="AR59" s="5379"/>
      <c r="AS59" s="5379"/>
      <c r="AT59" s="5379"/>
      <c r="AU59" s="5379"/>
      <c r="AV59" s="5379"/>
      <c r="AW59" s="5379"/>
      <c r="AX59" s="5379"/>
      <c r="AY59" s="5379"/>
      <c r="AZ59" s="5379"/>
      <c r="BA59" s="5379"/>
      <c r="BB59" s="5379"/>
      <c r="BC59" s="5379"/>
      <c r="BD59" s="5379"/>
      <c r="BE59" s="5379"/>
      <c r="BF59" s="5379"/>
      <c r="BG59" s="5379"/>
      <c r="BH59" s="5379"/>
      <c r="BI59" s="5379"/>
      <c r="BJ59" s="5379"/>
      <c r="BK59" s="5379"/>
      <c r="BL59" s="5379"/>
      <c r="BM59" s="5379"/>
      <c r="BN59" s="5379"/>
      <c r="BO59" s="5379"/>
      <c r="BP59" s="5379"/>
      <c r="BQ59" s="5379"/>
      <c r="BR59" s="5379"/>
      <c r="BS59" s="5379"/>
      <c r="BT59" s="5379"/>
      <c r="BU59" s="5379"/>
      <c r="BV59" s="5379"/>
      <c r="BW59" s="5379"/>
      <c r="BX59" s="5379"/>
      <c r="BY59" s="5379"/>
      <c r="BZ59" s="5379"/>
      <c r="CA59" s="5379"/>
      <c r="CB59" s="5379"/>
      <c r="CC59" s="5379"/>
      <c r="CD59" s="5379"/>
      <c r="CE59" s="5379"/>
      <c r="CF59" s="5379"/>
      <c r="CG59" s="5379"/>
      <c r="CH59" s="5379"/>
      <c r="CI59" s="5379"/>
      <c r="CJ59" s="5379"/>
      <c r="CK59" s="5379"/>
      <c r="CL59" s="5379"/>
      <c r="CM59" s="5379"/>
      <c r="CN59" s="5379"/>
      <c r="CO59" s="5379"/>
      <c r="CP59" s="5379"/>
      <c r="CQ59" s="5379"/>
      <c r="CR59" s="5379"/>
      <c r="CS59" s="5379"/>
      <c r="CT59" s="5379"/>
      <c r="CU59" s="5379"/>
      <c r="CV59" s="5379"/>
      <c r="CW59" s="5379"/>
      <c r="CX59" s="5379"/>
      <c r="CY59" s="5379"/>
      <c r="CZ59" s="5379"/>
      <c r="DA59" s="5379"/>
      <c r="DB59" s="5379"/>
      <c r="DC59" s="5379"/>
      <c r="DD59" s="5379"/>
      <c r="DE59" s="5380"/>
      <c r="DF59" s="5379"/>
      <c r="DG59" s="5379"/>
      <c r="DM59" s="1081">
        <v>27</v>
      </c>
    </row>
    <row r="60" spans="1:117" ht="78.75" customHeight="1">
      <c r="O60" s="473"/>
      <c r="T60" s="5379"/>
      <c r="U60" s="5379"/>
      <c r="V60" s="5379"/>
      <c r="W60" s="5379"/>
      <c r="X60" s="5379"/>
      <c r="Y60" s="5379"/>
      <c r="Z60" s="5379"/>
      <c r="AA60" s="5379"/>
      <c r="AB60" s="5379"/>
      <c r="AC60" s="5379"/>
      <c r="AD60" s="5379"/>
      <c r="AE60" s="5379"/>
      <c r="AF60" s="5379"/>
      <c r="AG60" s="5379"/>
      <c r="AH60" s="5379"/>
      <c r="AI60" s="5379"/>
      <c r="AJ60" s="5379"/>
      <c r="AK60" s="5379"/>
      <c r="AL60" s="5379"/>
      <c r="AM60" s="5379"/>
      <c r="AN60" s="5379"/>
      <c r="AO60" s="5379"/>
      <c r="AP60" s="5379"/>
      <c r="AQ60" s="5379"/>
      <c r="AR60" s="5379"/>
      <c r="AS60" s="5379"/>
      <c r="AT60" s="5379"/>
      <c r="AU60" s="5379"/>
      <c r="AV60" s="5379"/>
      <c r="AW60" s="5379"/>
      <c r="AX60" s="5379"/>
      <c r="AY60" s="5379"/>
      <c r="AZ60" s="5379"/>
      <c r="BA60" s="5379"/>
      <c r="BB60" s="5379"/>
      <c r="BC60" s="5379"/>
      <c r="BD60" s="5379"/>
      <c r="BE60" s="5379"/>
      <c r="BF60" s="5379"/>
      <c r="BG60" s="5379"/>
      <c r="BH60" s="5379"/>
      <c r="BI60" s="5379"/>
      <c r="BJ60" s="5379"/>
      <c r="BK60" s="5379"/>
      <c r="BL60" s="5379"/>
      <c r="BM60" s="5379"/>
      <c r="BN60" s="5379"/>
      <c r="BO60" s="5379"/>
      <c r="BP60" s="5379"/>
      <c r="BQ60" s="5379"/>
      <c r="BR60" s="5379"/>
      <c r="BS60" s="5379"/>
      <c r="BT60" s="5379"/>
      <c r="BU60" s="5379"/>
      <c r="BV60" s="5379"/>
      <c r="BW60" s="5379"/>
      <c r="BX60" s="5379"/>
      <c r="BY60" s="5379"/>
      <c r="BZ60" s="5379"/>
      <c r="CA60" s="5379"/>
      <c r="CB60" s="5379"/>
      <c r="CC60" s="5379"/>
      <c r="CD60" s="5379"/>
      <c r="CE60" s="5379"/>
      <c r="CF60" s="5379"/>
      <c r="CG60" s="5379"/>
      <c r="CH60" s="5379"/>
      <c r="CI60" s="5379"/>
      <c r="CJ60" s="5379"/>
      <c r="CK60" s="5379"/>
      <c r="CL60" s="5379"/>
      <c r="CM60" s="5379"/>
      <c r="CN60" s="5379"/>
      <c r="CO60" s="5379"/>
      <c r="CP60" s="5379"/>
      <c r="CQ60" s="5379"/>
      <c r="CR60" s="5379"/>
      <c r="CS60" s="5379"/>
      <c r="CT60" s="5379"/>
      <c r="CU60" s="5379"/>
      <c r="CV60" s="5379"/>
      <c r="CW60" s="5379"/>
      <c r="CX60" s="5379"/>
      <c r="CY60" s="5379"/>
      <c r="CZ60" s="5379"/>
      <c r="DA60" s="5379"/>
      <c r="DB60" s="5379"/>
      <c r="DC60" s="5379"/>
      <c r="DD60" s="5379"/>
      <c r="DE60" s="5380"/>
      <c r="DF60" s="5379"/>
      <c r="DG60" s="5379"/>
      <c r="DM60" s="1081">
        <v>75</v>
      </c>
    </row>
    <row r="61" spans="1:117" ht="14.65" customHeight="1">
      <c r="O61" s="473"/>
      <c r="AL61" s="1561"/>
      <c r="AM61" s="1561"/>
      <c r="AN61" s="1561"/>
      <c r="AO61" s="1561"/>
      <c r="AP61" s="1561"/>
      <c r="AQ61" s="1561"/>
      <c r="AR61" s="1561"/>
      <c r="AS61" s="1561"/>
      <c r="AT61" s="1561"/>
      <c r="AU61" s="1561"/>
      <c r="AV61" s="1561"/>
      <c r="AW61" s="1561"/>
      <c r="AX61" s="1561"/>
      <c r="AY61" s="1561"/>
      <c r="AZ61" s="1561"/>
      <c r="BA61" s="1561"/>
      <c r="BB61" s="1561"/>
      <c r="BC61" s="1561"/>
      <c r="BD61" s="1561"/>
      <c r="BE61" s="1561"/>
      <c r="BF61" s="1561"/>
      <c r="BG61" s="1561"/>
      <c r="BH61" s="1561"/>
      <c r="BI61" s="1561"/>
      <c r="BJ61" s="1561"/>
      <c r="BK61" s="1561"/>
      <c r="BL61" s="1561"/>
      <c r="BM61" s="1561"/>
      <c r="BN61" s="1561"/>
      <c r="BO61" s="1561"/>
      <c r="BP61" s="1561"/>
      <c r="BQ61" s="1561"/>
      <c r="BR61" s="1561"/>
      <c r="BS61" s="1561"/>
      <c r="BT61" s="1561"/>
      <c r="BU61" s="1561"/>
      <c r="BV61" s="1561"/>
      <c r="BW61" s="1561"/>
      <c r="BX61" s="1561"/>
      <c r="BY61" s="1561"/>
      <c r="BZ61" s="1561"/>
      <c r="CA61" s="1561"/>
      <c r="CB61" s="1561"/>
      <c r="CC61" s="1561"/>
      <c r="CD61" s="1561"/>
      <c r="CE61" s="1561"/>
      <c r="CF61" s="1561"/>
      <c r="CG61" s="1561"/>
      <c r="CH61" s="1561"/>
      <c r="CI61" s="1561"/>
      <c r="CJ61" s="1561"/>
      <c r="CK61" s="1561"/>
      <c r="CL61" s="1561"/>
      <c r="CM61" s="1561"/>
      <c r="CN61" s="1561"/>
      <c r="CO61" s="1561"/>
      <c r="CP61" s="1561"/>
      <c r="CQ61" s="1561"/>
      <c r="CR61" s="1561"/>
      <c r="CS61" s="1561"/>
      <c r="CT61" s="1561"/>
      <c r="CU61" s="1561"/>
      <c r="CV61" s="1561"/>
      <c r="CW61" s="1561"/>
      <c r="CX61" s="1561"/>
      <c r="CY61" s="1561"/>
      <c r="CZ61" s="1561"/>
      <c r="DA61" s="1561"/>
      <c r="DB61" s="1561"/>
      <c r="DC61" s="1561"/>
      <c r="DD61" s="1561"/>
      <c r="DE61" s="5155"/>
      <c r="DM61" s="1081">
        <v>14</v>
      </c>
    </row>
    <row r="62" spans="1:117" ht="18.75" customHeight="1">
      <c r="O62" s="473"/>
      <c r="S62" s="1179"/>
      <c r="T62" s="5379"/>
      <c r="U62" s="5379"/>
      <c r="V62" s="5379"/>
      <c r="W62" s="5379"/>
      <c r="X62" s="5379"/>
      <c r="Y62" s="5379"/>
      <c r="Z62" s="5379"/>
      <c r="AA62" s="5379"/>
      <c r="AB62" s="5379"/>
      <c r="AC62" s="5379"/>
      <c r="AD62" s="5379"/>
      <c r="AE62" s="5379"/>
      <c r="AF62" s="5379"/>
      <c r="AG62" s="5379"/>
      <c r="AH62" s="5379"/>
      <c r="AI62" s="5379"/>
      <c r="AJ62" s="5379"/>
      <c r="AK62" s="5379"/>
      <c r="AL62" s="5379"/>
      <c r="AM62" s="5379"/>
      <c r="AN62" s="5379"/>
      <c r="AO62" s="5379"/>
      <c r="AP62" s="5379"/>
      <c r="AQ62" s="5379"/>
      <c r="AR62" s="5379"/>
      <c r="AS62" s="5379"/>
      <c r="AT62" s="5379"/>
      <c r="AU62" s="5379"/>
      <c r="AV62" s="5379"/>
      <c r="AW62" s="5379"/>
      <c r="AX62" s="5379"/>
      <c r="AY62" s="5379"/>
      <c r="AZ62" s="5379"/>
      <c r="BA62" s="5379"/>
      <c r="BB62" s="5379"/>
      <c r="BC62" s="5379"/>
      <c r="BD62" s="5379"/>
      <c r="BE62" s="5379"/>
      <c r="BF62" s="5379"/>
      <c r="BG62" s="5379"/>
      <c r="BH62" s="5379"/>
      <c r="BI62" s="5379"/>
      <c r="BJ62" s="5379"/>
      <c r="BK62" s="5379"/>
      <c r="BL62" s="5379"/>
      <c r="BM62" s="5379"/>
      <c r="BN62" s="5379"/>
      <c r="BO62" s="5379"/>
      <c r="BP62" s="5379"/>
      <c r="BQ62" s="5379"/>
      <c r="BR62" s="5379"/>
      <c r="BS62" s="5379"/>
      <c r="BT62" s="5379"/>
      <c r="BU62" s="5379"/>
      <c r="BV62" s="5379"/>
      <c r="BW62" s="5379"/>
      <c r="BX62" s="5379"/>
      <c r="BY62" s="5379"/>
      <c r="BZ62" s="5379"/>
      <c r="CA62" s="5379"/>
      <c r="CB62" s="5379"/>
      <c r="CC62" s="5379"/>
      <c r="CD62" s="5379"/>
      <c r="CE62" s="5379"/>
      <c r="CF62" s="5379"/>
      <c r="CG62" s="5379"/>
      <c r="CH62" s="5379"/>
      <c r="CI62" s="5379"/>
      <c r="CJ62" s="5379"/>
      <c r="CK62" s="5379"/>
      <c r="CL62" s="5379"/>
      <c r="CM62" s="5379"/>
      <c r="CN62" s="5379"/>
      <c r="CO62" s="5379"/>
      <c r="CP62" s="5379"/>
      <c r="CQ62" s="5379"/>
      <c r="CR62" s="5379"/>
      <c r="CS62" s="5379"/>
      <c r="CT62" s="5379"/>
      <c r="CU62" s="5379"/>
      <c r="CV62" s="5379"/>
      <c r="CW62" s="5379"/>
      <c r="CX62" s="5379"/>
      <c r="CY62" s="5379"/>
      <c r="CZ62" s="5379"/>
      <c r="DA62" s="5379"/>
      <c r="DB62" s="5379"/>
      <c r="DC62" s="5379"/>
      <c r="DD62" s="5379"/>
      <c r="DE62" s="5380"/>
      <c r="DF62" s="5379"/>
      <c r="DG62" s="5379"/>
      <c r="DM62" s="1081">
        <v>18</v>
      </c>
    </row>
    <row r="63" spans="1:117" ht="18.75" customHeight="1">
      <c r="O63" s="473"/>
      <c r="T63" s="5379"/>
      <c r="U63" s="5379"/>
      <c r="V63" s="5379"/>
      <c r="W63" s="5379"/>
      <c r="X63" s="5379"/>
      <c r="Y63" s="5379"/>
      <c r="Z63" s="5379"/>
      <c r="AA63" s="5379"/>
      <c r="AB63" s="5379"/>
      <c r="AC63" s="5379"/>
      <c r="AD63" s="5379"/>
      <c r="AE63" s="5379"/>
      <c r="AF63" s="5379"/>
      <c r="AG63" s="5379"/>
      <c r="AH63" s="5379"/>
      <c r="AI63" s="5379"/>
      <c r="AJ63" s="5379"/>
      <c r="AK63" s="5379"/>
      <c r="AL63" s="5379"/>
      <c r="AM63" s="5379"/>
      <c r="AN63" s="5379"/>
      <c r="AO63" s="5379"/>
      <c r="AP63" s="5379"/>
      <c r="AQ63" s="5379"/>
      <c r="AR63" s="5379"/>
      <c r="AS63" s="5379"/>
      <c r="AT63" s="5379"/>
      <c r="AU63" s="5379"/>
      <c r="AV63" s="5379"/>
      <c r="AW63" s="5379"/>
      <c r="AX63" s="5379"/>
      <c r="AY63" s="5379"/>
      <c r="AZ63" s="5379"/>
      <c r="BA63" s="5379"/>
      <c r="BB63" s="5379"/>
      <c r="BC63" s="5379"/>
      <c r="BD63" s="5379"/>
      <c r="BE63" s="5379"/>
      <c r="BF63" s="5379"/>
      <c r="BG63" s="5379"/>
      <c r="BH63" s="5379"/>
      <c r="BI63" s="5379"/>
      <c r="BJ63" s="5379"/>
      <c r="BK63" s="5379"/>
      <c r="BL63" s="5379"/>
      <c r="BM63" s="5379"/>
      <c r="BN63" s="5379"/>
      <c r="BO63" s="5379"/>
      <c r="BP63" s="5379"/>
      <c r="BQ63" s="5379"/>
      <c r="BR63" s="5379"/>
      <c r="BS63" s="5379"/>
      <c r="BT63" s="5379"/>
      <c r="BU63" s="5379"/>
      <c r="BV63" s="5379"/>
      <c r="BW63" s="5379"/>
      <c r="BX63" s="5379"/>
      <c r="BY63" s="5379"/>
      <c r="BZ63" s="5379"/>
      <c r="CA63" s="5379"/>
      <c r="CB63" s="5379"/>
      <c r="CC63" s="5379"/>
      <c r="CD63" s="5379"/>
      <c r="CE63" s="5379"/>
      <c r="CF63" s="5379"/>
      <c r="CG63" s="5379"/>
      <c r="CH63" s="5379"/>
      <c r="CI63" s="5379"/>
      <c r="CJ63" s="5379"/>
      <c r="CK63" s="5379"/>
      <c r="CL63" s="5379"/>
      <c r="CM63" s="5379"/>
      <c r="CN63" s="5379"/>
      <c r="CO63" s="5379"/>
      <c r="CP63" s="5379"/>
      <c r="CQ63" s="5379"/>
      <c r="CR63" s="5379"/>
      <c r="CS63" s="5379"/>
      <c r="CT63" s="5379"/>
      <c r="CU63" s="5379"/>
      <c r="CV63" s="5379"/>
      <c r="CW63" s="5379"/>
      <c r="CX63" s="5379"/>
      <c r="CY63" s="5379"/>
      <c r="CZ63" s="5379"/>
      <c r="DA63" s="5379"/>
      <c r="DB63" s="5379"/>
      <c r="DC63" s="5379"/>
      <c r="DD63" s="5379"/>
      <c r="DE63" s="5380"/>
      <c r="DF63" s="5379"/>
      <c r="DG63" s="5379"/>
      <c r="DM63" s="1081">
        <v>18</v>
      </c>
    </row>
    <row r="64" spans="1:117" ht="39.75" customHeight="1">
      <c r="O64" s="473"/>
      <c r="S64" s="1179"/>
      <c r="T64" s="5379"/>
      <c r="U64" s="5379"/>
      <c r="V64" s="5379"/>
      <c r="W64" s="5379"/>
      <c r="X64" s="5379"/>
      <c r="Y64" s="5379"/>
      <c r="Z64" s="5379"/>
      <c r="AA64" s="5379"/>
      <c r="AB64" s="5379"/>
      <c r="AC64" s="5379"/>
      <c r="AD64" s="5379"/>
      <c r="AE64" s="5379"/>
      <c r="AF64" s="5379"/>
      <c r="AG64" s="5379"/>
      <c r="AH64" s="5379"/>
      <c r="AI64" s="5379"/>
      <c r="AJ64" s="5379"/>
      <c r="AK64" s="5379"/>
      <c r="AL64" s="5379"/>
      <c r="AM64" s="5379"/>
      <c r="AN64" s="5379"/>
      <c r="AO64" s="5379"/>
      <c r="AP64" s="5379"/>
      <c r="AQ64" s="5379"/>
      <c r="AR64" s="5379"/>
      <c r="AS64" s="5379"/>
      <c r="AT64" s="5379"/>
      <c r="AU64" s="5379"/>
      <c r="AV64" s="5379"/>
      <c r="AW64" s="5379"/>
      <c r="AX64" s="5379"/>
      <c r="AY64" s="5379"/>
      <c r="AZ64" s="5379"/>
      <c r="BA64" s="5379"/>
      <c r="BB64" s="5379"/>
      <c r="BC64" s="5379"/>
      <c r="BD64" s="5379"/>
      <c r="BE64" s="5379"/>
      <c r="BF64" s="5379"/>
      <c r="BG64" s="5379"/>
      <c r="BH64" s="5379"/>
      <c r="BI64" s="5379"/>
      <c r="BJ64" s="5379"/>
      <c r="BK64" s="5379"/>
      <c r="BL64" s="5379"/>
      <c r="BM64" s="5379"/>
      <c r="BN64" s="5379"/>
      <c r="BO64" s="5379"/>
      <c r="BP64" s="5379"/>
      <c r="BQ64" s="5379"/>
      <c r="BR64" s="5379"/>
      <c r="BS64" s="5379"/>
      <c r="BT64" s="5379"/>
      <c r="BU64" s="5379"/>
      <c r="BV64" s="5379"/>
      <c r="BW64" s="5379"/>
      <c r="BX64" s="5379"/>
      <c r="BY64" s="5379"/>
      <c r="BZ64" s="5379"/>
      <c r="CA64" s="5379"/>
      <c r="CB64" s="5379"/>
      <c r="CC64" s="5379"/>
      <c r="CD64" s="5379"/>
      <c r="CE64" s="5379"/>
      <c r="CF64" s="5379"/>
      <c r="CG64" s="5379"/>
      <c r="CH64" s="5379"/>
      <c r="CI64" s="5379"/>
      <c r="CJ64" s="5379"/>
      <c r="CK64" s="5379"/>
      <c r="CL64" s="5379"/>
      <c r="CM64" s="5379"/>
      <c r="CN64" s="5379"/>
      <c r="CO64" s="5379"/>
      <c r="CP64" s="5379"/>
      <c r="CQ64" s="5379"/>
      <c r="CR64" s="5379"/>
      <c r="CS64" s="5379"/>
      <c r="CT64" s="5379"/>
      <c r="CU64" s="5379"/>
      <c r="CV64" s="5379"/>
      <c r="CW64" s="5379"/>
      <c r="CX64" s="5379"/>
      <c r="CY64" s="5379"/>
      <c r="CZ64" s="5379"/>
      <c r="DA64" s="5379"/>
      <c r="DB64" s="5379"/>
      <c r="DC64" s="5379"/>
      <c r="DD64" s="5379"/>
      <c r="DE64" s="5380"/>
      <c r="DF64" s="5379"/>
      <c r="DG64" s="5379"/>
      <c r="DM64" s="1081">
        <v>38</v>
      </c>
    </row>
    <row r="65" spans="1:117"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561">
        <v>0</v>
      </c>
      <c r="AM65" s="1561">
        <v>0</v>
      </c>
      <c r="AN65" s="1561">
        <v>0</v>
      </c>
      <c r="AO65" s="1561">
        <v>0</v>
      </c>
      <c r="AP65" s="1561">
        <v>0</v>
      </c>
      <c r="AQ65" s="1561">
        <v>0</v>
      </c>
      <c r="AR65" s="1561">
        <v>0</v>
      </c>
      <c r="AS65" s="1561">
        <v>0</v>
      </c>
      <c r="AT65" s="1561">
        <v>0</v>
      </c>
      <c r="AU65" s="1561">
        <v>0</v>
      </c>
      <c r="AV65" s="1561">
        <v>0</v>
      </c>
      <c r="AW65" s="1561">
        <v>0</v>
      </c>
      <c r="AX65" s="1561">
        <v>0</v>
      </c>
      <c r="AY65" s="1561">
        <v>0</v>
      </c>
      <c r="AZ65" s="1561">
        <v>0</v>
      </c>
      <c r="BA65" s="1561">
        <v>0</v>
      </c>
      <c r="BB65" s="1561">
        <v>0</v>
      </c>
      <c r="BC65" s="1561">
        <v>0</v>
      </c>
      <c r="BD65" s="1561">
        <v>0</v>
      </c>
      <c r="BE65" s="1561">
        <v>0</v>
      </c>
      <c r="BF65" s="1561">
        <v>0</v>
      </c>
      <c r="BG65" s="1561">
        <v>0</v>
      </c>
      <c r="BH65" s="1561">
        <v>0</v>
      </c>
      <c r="BI65" s="1561">
        <v>0</v>
      </c>
      <c r="BJ65" s="1561">
        <v>0</v>
      </c>
      <c r="BK65" s="1561">
        <v>0</v>
      </c>
      <c r="BL65" s="1561">
        <v>0</v>
      </c>
      <c r="BM65" s="1561">
        <v>0</v>
      </c>
      <c r="BN65" s="1561">
        <v>0</v>
      </c>
      <c r="BO65" s="1561">
        <v>0</v>
      </c>
      <c r="BP65" s="1561">
        <v>0</v>
      </c>
      <c r="BQ65" s="1561">
        <v>0</v>
      </c>
      <c r="BR65" s="1561">
        <v>0</v>
      </c>
      <c r="BS65" s="1561">
        <v>0</v>
      </c>
      <c r="BT65" s="1561">
        <v>0</v>
      </c>
      <c r="BU65" s="1561">
        <v>0</v>
      </c>
      <c r="BV65" s="1561">
        <v>0</v>
      </c>
      <c r="BW65" s="1561">
        <v>0</v>
      </c>
      <c r="BX65" s="1561">
        <v>0</v>
      </c>
      <c r="BY65" s="1561">
        <v>0</v>
      </c>
      <c r="BZ65" s="1561">
        <v>0</v>
      </c>
      <c r="CA65" s="1561">
        <v>0</v>
      </c>
      <c r="CB65" s="1561">
        <v>0</v>
      </c>
      <c r="CC65" s="1561">
        <v>0</v>
      </c>
      <c r="CD65" s="1561">
        <v>0</v>
      </c>
      <c r="CE65" s="1561">
        <v>0</v>
      </c>
      <c r="CF65" s="1561">
        <v>0</v>
      </c>
      <c r="CG65" s="1561">
        <v>0</v>
      </c>
      <c r="CH65" s="1561">
        <v>0</v>
      </c>
      <c r="CI65" s="1561">
        <v>0</v>
      </c>
      <c r="CJ65" s="1561">
        <v>0</v>
      </c>
      <c r="CK65" s="1561">
        <v>0</v>
      </c>
      <c r="CL65" s="1561">
        <v>0</v>
      </c>
      <c r="CM65" s="1561">
        <v>0</v>
      </c>
      <c r="CN65" s="1561">
        <v>0</v>
      </c>
      <c r="CO65" s="1561">
        <v>0</v>
      </c>
      <c r="CP65" s="1561">
        <v>0</v>
      </c>
      <c r="CQ65" s="1561">
        <v>0</v>
      </c>
      <c r="CR65" s="1561">
        <v>0</v>
      </c>
      <c r="CS65" s="1561">
        <v>0</v>
      </c>
      <c r="CT65" s="1561">
        <v>0</v>
      </c>
      <c r="CU65" s="1561">
        <v>0</v>
      </c>
      <c r="CV65" s="1561">
        <v>0</v>
      </c>
      <c r="CW65" s="1561">
        <v>0</v>
      </c>
      <c r="CX65" s="1561">
        <v>0</v>
      </c>
      <c r="CY65" s="1561">
        <v>0</v>
      </c>
      <c r="CZ65" s="1561">
        <v>0</v>
      </c>
      <c r="DA65" s="1561">
        <v>0</v>
      </c>
      <c r="DB65" s="1561">
        <v>0</v>
      </c>
      <c r="DC65" s="1561">
        <v>0</v>
      </c>
      <c r="DD65" s="1561">
        <v>0</v>
      </c>
      <c r="DE65" s="5155">
        <v>0</v>
      </c>
      <c r="DF65" s="1081">
        <v>4</v>
      </c>
      <c r="DG65" s="1081">
        <v>115</v>
      </c>
      <c r="DH65" s="447">
        <v>10</v>
      </c>
      <c r="DI65" s="447">
        <v>10</v>
      </c>
      <c r="DJ65" s="447">
        <v>10</v>
      </c>
      <c r="DK65" s="447">
        <v>10</v>
      </c>
      <c r="DL65" s="447">
        <v>10</v>
      </c>
      <c r="DM65" s="1081">
        <v>23</v>
      </c>
    </row>
  </sheetData>
  <sheetProtection formatColumns="0" formatRows="0" insertRows="0" deleteColumns="0" deleteRows="0" sort="0" autoFilter="0"/>
  <mergeCells count="308">
    <mergeCell ref="DD49:DD50"/>
    <mergeCell ref="DE49:DE50"/>
    <mergeCell ref="CT49:CT50"/>
    <mergeCell ref="CU49:CU50"/>
    <mergeCell ref="CV49:CV50"/>
    <mergeCell ref="CW49:CW50"/>
    <mergeCell ref="DB8:DB9"/>
    <mergeCell ref="DC8:DC9"/>
    <mergeCell ref="DD8:DD9"/>
    <mergeCell ref="DE8:DE9"/>
    <mergeCell ref="CX29:DD29"/>
    <mergeCell ref="CX30:DD30"/>
    <mergeCell ref="CX31:DD31"/>
    <mergeCell ref="CX32:DD32"/>
    <mergeCell ref="CX34:DD34"/>
    <mergeCell ref="CX35:DD35"/>
    <mergeCell ref="CX37:DE37"/>
    <mergeCell ref="CX39:DD39"/>
    <mergeCell ref="DE39:DE41"/>
    <mergeCell ref="CX40:CX41"/>
    <mergeCell ref="CY40:CY41"/>
    <mergeCell ref="DB40:DD40"/>
    <mergeCell ref="DC41:DD41"/>
    <mergeCell ref="DC42:DD42"/>
    <mergeCell ref="DB49:DB50"/>
    <mergeCell ref="DC49:DC50"/>
    <mergeCell ref="CP35:CV35"/>
    <mergeCell ref="CP37:CW37"/>
    <mergeCell ref="CP39:CV39"/>
    <mergeCell ref="CW39:CW41"/>
    <mergeCell ref="CP40:CP41"/>
    <mergeCell ref="CQ40:CQ41"/>
    <mergeCell ref="CT40:CV40"/>
    <mergeCell ref="CU41:CV41"/>
    <mergeCell ref="CU42:CV42"/>
    <mergeCell ref="CT8:CT9"/>
    <mergeCell ref="CU8:CU9"/>
    <mergeCell ref="CV8:CV9"/>
    <mergeCell ref="CW8:CW9"/>
    <mergeCell ref="CP29:CV29"/>
    <mergeCell ref="CP30:CV30"/>
    <mergeCell ref="CP31:CV31"/>
    <mergeCell ref="CP32:CV32"/>
    <mergeCell ref="CP34:CV34"/>
    <mergeCell ref="CF49:CF50"/>
    <mergeCell ref="CG49:CG50"/>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L40:CN40"/>
    <mergeCell ref="CM41:CN41"/>
    <mergeCell ref="CM42:CN42"/>
    <mergeCell ref="CL49:CL50"/>
    <mergeCell ref="CM49:CM50"/>
    <mergeCell ref="CN49:CN50"/>
    <mergeCell ref="CO49:CO50"/>
    <mergeCell ref="BV49:BV50"/>
    <mergeCell ref="BW49:BW50"/>
    <mergeCell ref="BX49:BX50"/>
    <mergeCell ref="BY49:BY50"/>
    <mergeCell ref="CD8:CD9"/>
    <mergeCell ref="CE8:CE9"/>
    <mergeCell ref="CF8:CF9"/>
    <mergeCell ref="CG8:CG9"/>
    <mergeCell ref="BZ29:CF29"/>
    <mergeCell ref="BZ30:CF30"/>
    <mergeCell ref="BZ31:CF31"/>
    <mergeCell ref="BZ32:CF32"/>
    <mergeCell ref="BZ34:CF34"/>
    <mergeCell ref="BZ35:CF35"/>
    <mergeCell ref="BZ37:CG37"/>
    <mergeCell ref="BZ39:CF39"/>
    <mergeCell ref="CG39:CG41"/>
    <mergeCell ref="BZ40:BZ41"/>
    <mergeCell ref="CA40:CA41"/>
    <mergeCell ref="CD40:CF40"/>
    <mergeCell ref="CE41:CF41"/>
    <mergeCell ref="CE42:CF42"/>
    <mergeCell ref="CD49:CD50"/>
    <mergeCell ref="CE49:CE50"/>
    <mergeCell ref="BR35:BX35"/>
    <mergeCell ref="BR37:BY37"/>
    <mergeCell ref="BR39:BX39"/>
    <mergeCell ref="BY39:BY41"/>
    <mergeCell ref="BR40:BR41"/>
    <mergeCell ref="BS40:BS41"/>
    <mergeCell ref="BV40:BX40"/>
    <mergeCell ref="BW41:BX41"/>
    <mergeCell ref="BW42:BX42"/>
    <mergeCell ref="BV8:BV9"/>
    <mergeCell ref="BW8:BW9"/>
    <mergeCell ref="BX8:BX9"/>
    <mergeCell ref="BY8:BY9"/>
    <mergeCell ref="BR29:BX29"/>
    <mergeCell ref="BR30:BX30"/>
    <mergeCell ref="BR31:BX31"/>
    <mergeCell ref="BR32:BX32"/>
    <mergeCell ref="BR34:BX34"/>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N40:BP40"/>
    <mergeCell ref="BO41:BP41"/>
    <mergeCell ref="BO42:BP42"/>
    <mergeCell ref="BN49:BN50"/>
    <mergeCell ref="BO49:BO50"/>
    <mergeCell ref="BP49:BP50"/>
    <mergeCell ref="BQ49:BQ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F40:BH40"/>
    <mergeCell ref="BG41:BH41"/>
    <mergeCell ref="BG42:BH42"/>
    <mergeCell ref="BF49:BF50"/>
    <mergeCell ref="BG49:BG50"/>
    <mergeCell ref="BH49:BH50"/>
    <mergeCell ref="AQ42:AR42"/>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X40:AZ40"/>
    <mergeCell ref="AY41:AZ41"/>
    <mergeCell ref="AY42:AZ42"/>
    <mergeCell ref="AX49:AX50"/>
    <mergeCell ref="AL31:AR31"/>
    <mergeCell ref="AL32:AR32"/>
    <mergeCell ref="AL34:AR34"/>
    <mergeCell ref="AL35:AR35"/>
    <mergeCell ref="AL37:AS37"/>
    <mergeCell ref="AL39:AR39"/>
    <mergeCell ref="AS39:AS41"/>
    <mergeCell ref="AL40:AL41"/>
    <mergeCell ref="AM40:AM41"/>
    <mergeCell ref="AP40:AR40"/>
    <mergeCell ref="AQ41:AR41"/>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DG8:DG10"/>
    <mergeCell ref="AH17:AH18"/>
    <mergeCell ref="AI17:AI18"/>
    <mergeCell ref="AJ17:AJ18"/>
    <mergeCell ref="AK17:AK18"/>
    <mergeCell ref="AA8:AA9"/>
    <mergeCell ref="AB8:AB9"/>
    <mergeCell ref="AC8:AC9"/>
    <mergeCell ref="AH8:AH9"/>
    <mergeCell ref="AI8:AI9"/>
    <mergeCell ref="AP8:AP9"/>
    <mergeCell ref="AQ8:AQ9"/>
    <mergeCell ref="AR8:AR9"/>
    <mergeCell ref="AS8:AS9"/>
    <mergeCell ref="AL29:AR29"/>
    <mergeCell ref="AL30:AR30"/>
    <mergeCell ref="DG38:DG41"/>
    <mergeCell ref="S39:S41"/>
    <mergeCell ref="T39:T41"/>
    <mergeCell ref="V39:AB39"/>
    <mergeCell ref="AC39:AC41"/>
    <mergeCell ref="AD39:AJ39"/>
    <mergeCell ref="AK39:AK41"/>
    <mergeCell ref="DF39:DF41"/>
    <mergeCell ref="V40:V41"/>
    <mergeCell ref="W40:W41"/>
    <mergeCell ref="Z40:AB40"/>
    <mergeCell ref="E43:E56"/>
    <mergeCell ref="V43:AC43"/>
    <mergeCell ref="AD43:DF43"/>
    <mergeCell ref="F44:F55"/>
    <mergeCell ref="V44:AC44"/>
    <mergeCell ref="AD44:DF44"/>
    <mergeCell ref="G45:G54"/>
    <mergeCell ref="V45:AC45"/>
    <mergeCell ref="AD45:DF45"/>
    <mergeCell ref="H46:H53"/>
    <mergeCell ref="V46:AC46"/>
    <mergeCell ref="AD46:DF46"/>
    <mergeCell ref="I47:I52"/>
    <mergeCell ref="P47:P52"/>
    <mergeCell ref="J48:J51"/>
    <mergeCell ref="Q48:Q51"/>
    <mergeCell ref="V48:AC48"/>
    <mergeCell ref="AD48:DF48"/>
    <mergeCell ref="K49:K50"/>
    <mergeCell ref="Z49:Z50"/>
    <mergeCell ref="AA49:AA50"/>
    <mergeCell ref="AB49:AB50"/>
    <mergeCell ref="AC49:AC50"/>
    <mergeCell ref="AH49:AH50"/>
    <mergeCell ref="AI49:AI50"/>
    <mergeCell ref="AJ49:AJ50"/>
    <mergeCell ref="AK49:AK50"/>
    <mergeCell ref="V5:AC5"/>
    <mergeCell ref="AD5:DF5"/>
    <mergeCell ref="V6:AC6"/>
    <mergeCell ref="AD6:DF6"/>
    <mergeCell ref="V7:AC7"/>
    <mergeCell ref="AD7:DF7"/>
    <mergeCell ref="AH40:AJ40"/>
    <mergeCell ref="AA41:AB41"/>
    <mergeCell ref="AI41:AJ41"/>
    <mergeCell ref="AD32:AJ32"/>
    <mergeCell ref="V37:AC37"/>
    <mergeCell ref="AD37:AK37"/>
    <mergeCell ref="S38:DF38"/>
    <mergeCell ref="S32:T32"/>
    <mergeCell ref="V32:AB32"/>
    <mergeCell ref="AD29:AJ29"/>
    <mergeCell ref="S30:T30"/>
    <mergeCell ref="V30:AB30"/>
    <mergeCell ref="AD30:AJ30"/>
    <mergeCell ref="S31:T31"/>
    <mergeCell ref="V31:AB31"/>
    <mergeCell ref="V2:AC2"/>
    <mergeCell ref="AD2:DF2"/>
    <mergeCell ref="V3:AC3"/>
    <mergeCell ref="AD3:DF3"/>
    <mergeCell ref="V4:AC4"/>
    <mergeCell ref="AD4:DF4"/>
    <mergeCell ref="T62:DG62"/>
    <mergeCell ref="T63:DG63"/>
    <mergeCell ref="T64:DG64"/>
    <mergeCell ref="S34:T34"/>
    <mergeCell ref="V34:AB34"/>
    <mergeCell ref="AD34:AJ34"/>
    <mergeCell ref="S35:T35"/>
    <mergeCell ref="V35:AB35"/>
    <mergeCell ref="AD35:AJ35"/>
    <mergeCell ref="DG49:DG51"/>
    <mergeCell ref="T59:DG59"/>
    <mergeCell ref="T60:DG60"/>
    <mergeCell ref="V47:AC47"/>
    <mergeCell ref="AD47:DF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CC9 CC50 CK9 CK50 CS9 CS50 DA9 DA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DE524337 AK8 AQ8 AS8 AY8 BA8 BG8 BI8 BO8 BQ8 BW8 BY8 CE8 CG8 CM8 CO8 CU8 CW8 DC8 DE8 AK589873:DE589873 AK655409:DE655409 AK17 AK720945:DE720945 AK786481:DE786481 AK852017:DE852017 AK917553:DE917553 AK983089:DE983089 AK65585:DE65585 AK131121:DE131121 AK458801:DE458801 AK196657:DE196657 AK262193:DE262193 AI49 AI8 AC8 AA8 AI17 AK327729:DE327729 AK393265:DE393265 AA49 AC49 AK49 AQ49 AS49 AY49 BA49 BG49 BI49 BO49 BQ49 BW49 BY49 CE49 CG49 CM49 CO49 CU49 CW49 DC49 DE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B8 DD8 DB49 DD49"/>
    <dataValidation type="textLength" operator="lessThanOrEqual" allowBlank="1" showInputMessage="1" showErrorMessage="1" errorTitle="Ошибка" error="Допускается ввод не более 900 символов!" sqref="DG65579:DG65586 DG131115:DG131122 DG196651:DG196658 DG262187:DG262194 DG327723:DG327730 DG393259:DG393266 DG458795:DG458802 DG524331:DG524338 DG589867:DG589874 DG655403:DG655410 DG720939:DG720946 DG786475:DG786482 DG852011:DG852018 DG917547:DG917554 DG983083:DG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DF983088 V65584:DF65584 V131120:DF131120 V196656:DF196656 V262192:DF262192 V327728:DF327728 V393264:DF393264 V458800:DF458800 V524336:DF524336 V589872:DF589872 V655408:DF655408 V720944:DF720944 V786480:DF786480 V852016:DF852016 V917552:DF917552">
      <formula1>kind_of_cons</formula1>
    </dataValidation>
    <dataValidation allowBlank="1" sqref="S131123:DG131129 S196659:DG196665 S262195:DG262201 S327731:DG327737 S393267:DG393273 S458803:DG458809 S524339:DG524345 S589875:DG589881 S655411:DG655417 S720947:DG720953 S786483:DG786489 S852019:DG852025 S917555:DG917561 S983091:DG983097 S65587:DG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M66"/>
  <sheetViews>
    <sheetView showGridLines="0" zoomScale="90" workbookViewId="0">
      <pane xSplit="29" ySplit="42" topLeftCell="CK43" activePane="bottomRight" state="frozen"/>
      <selection pane="topRight" activeCell="AD1" sqref="AD1"/>
      <selection pane="bottomLeft" activeCell="A43" sqref="A43"/>
      <selection pane="bottomRight" activeCell="CX50" sqref="CX50"/>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1" hidden="1" customWidth="1"/>
    <col min="15" max="15" width="23.42578125" style="1701"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customWidth="1"/>
    <col min="109" max="109" width="10.5703125" style="4" hidden="1"/>
    <col min="110" max="110" width="4" style="1561" customWidth="1"/>
    <col min="111" max="111" width="115" style="1561" customWidth="1"/>
    <col min="112" max="116" width="10" style="1568" customWidth="1"/>
    <col min="117" max="117" width="8.42578125" style="1561" hidden="1" customWidth="1"/>
  </cols>
  <sheetData>
    <row r="1" spans="1:117" ht="22.5" hidden="1" customHeight="1">
      <c r="Y1" s="264"/>
      <c r="Z1" s="264"/>
      <c r="AG1" s="264"/>
      <c r="AH1" s="264"/>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BZ1" s="1561"/>
      <c r="CA1" s="1561"/>
      <c r="CB1" s="1561"/>
      <c r="CC1" s="1561"/>
      <c r="CD1" s="1561"/>
      <c r="CE1" s="1561"/>
      <c r="CF1" s="1561"/>
      <c r="CG1" s="1561"/>
      <c r="CH1" s="1561"/>
      <c r="CI1" s="1561"/>
      <c r="CJ1" s="1561"/>
      <c r="CK1" s="1561"/>
      <c r="CL1" s="1561"/>
      <c r="CM1" s="1561"/>
      <c r="CN1" s="1561"/>
      <c r="CO1" s="1561"/>
      <c r="CP1" s="1561"/>
      <c r="CQ1" s="1561"/>
      <c r="CR1" s="1561"/>
      <c r="CS1" s="1561"/>
      <c r="CT1" s="1561"/>
      <c r="CU1" s="1561"/>
      <c r="CV1" s="1561"/>
      <c r="CW1" s="1561"/>
      <c r="CX1" s="1561"/>
      <c r="CY1" s="1561"/>
      <c r="CZ1" s="1561"/>
      <c r="DA1" s="1561"/>
      <c r="DB1" s="1561"/>
      <c r="DC1" s="1561"/>
      <c r="DD1" s="1561"/>
      <c r="DE1" s="5155"/>
      <c r="DM1" s="1081" t="s">
        <v>14</v>
      </c>
    </row>
    <row r="2" spans="1:117" ht="21" hidden="1" customHeight="1">
      <c r="A2" s="1289"/>
      <c r="B2" s="1289"/>
      <c r="C2" s="1289"/>
      <c r="D2" s="1289"/>
      <c r="E2" s="5381">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5373"/>
      <c r="W2" s="5374"/>
      <c r="X2" s="5374"/>
      <c r="Y2" s="5374"/>
      <c r="Z2" s="5374"/>
      <c r="AA2" s="5374"/>
      <c r="AB2" s="5374"/>
      <c r="AC2" s="5375"/>
      <c r="AD2" s="5373" t="e">
        <f>INDEX(PT_DIFFERENTIATION_NTAR,MATCH(A2,PT_DIFFERENTIATION_NTAR_ID,0))</f>
        <v>#N/A</v>
      </c>
      <c r="AE2" s="5374"/>
      <c r="AF2" s="5374"/>
      <c r="AG2" s="5374"/>
      <c r="AH2" s="5374"/>
      <c r="AI2" s="5374"/>
      <c r="AJ2" s="5374"/>
      <c r="AK2" s="5374"/>
      <c r="AL2" s="5373"/>
      <c r="AM2" s="5374"/>
      <c r="AN2" s="5374"/>
      <c r="AO2" s="5374"/>
      <c r="AP2" s="5374"/>
      <c r="AQ2" s="5374"/>
      <c r="AR2" s="5374"/>
      <c r="AS2" s="5375"/>
      <c r="AT2" s="5373"/>
      <c r="AU2" s="5374"/>
      <c r="AV2" s="5374"/>
      <c r="AW2" s="5374"/>
      <c r="AX2" s="5374"/>
      <c r="AY2" s="5374"/>
      <c r="AZ2" s="5374"/>
      <c r="BA2" s="5375"/>
      <c r="BB2" s="5373"/>
      <c r="BC2" s="5374"/>
      <c r="BD2" s="5374"/>
      <c r="BE2" s="5374"/>
      <c r="BF2" s="5374"/>
      <c r="BG2" s="5374"/>
      <c r="BH2" s="5374"/>
      <c r="BI2" s="5375"/>
      <c r="BJ2" s="5373"/>
      <c r="BK2" s="5374"/>
      <c r="BL2" s="5374"/>
      <c r="BM2" s="5374"/>
      <c r="BN2" s="5374"/>
      <c r="BO2" s="5374"/>
      <c r="BP2" s="5374"/>
      <c r="BQ2" s="5375"/>
      <c r="BR2" s="5373"/>
      <c r="BS2" s="5374"/>
      <c r="BT2" s="5374"/>
      <c r="BU2" s="5374"/>
      <c r="BV2" s="5374"/>
      <c r="BW2" s="5374"/>
      <c r="BX2" s="5374"/>
      <c r="BY2" s="5375"/>
      <c r="BZ2" s="5373"/>
      <c r="CA2" s="5374"/>
      <c r="CB2" s="5374"/>
      <c r="CC2" s="5374"/>
      <c r="CD2" s="5374"/>
      <c r="CE2" s="5374"/>
      <c r="CF2" s="5374"/>
      <c r="CG2" s="5375"/>
      <c r="CH2" s="5373"/>
      <c r="CI2" s="5374"/>
      <c r="CJ2" s="5374"/>
      <c r="CK2" s="5374"/>
      <c r="CL2" s="5374"/>
      <c r="CM2" s="5374"/>
      <c r="CN2" s="5374"/>
      <c r="CO2" s="5375"/>
      <c r="CP2" s="5373"/>
      <c r="CQ2" s="5374"/>
      <c r="CR2" s="5374"/>
      <c r="CS2" s="5374"/>
      <c r="CT2" s="5374"/>
      <c r="CU2" s="5374"/>
      <c r="CV2" s="5374"/>
      <c r="CW2" s="5375"/>
      <c r="CX2" s="5373"/>
      <c r="CY2" s="5374"/>
      <c r="CZ2" s="5374"/>
      <c r="DA2" s="5374"/>
      <c r="DB2" s="5374"/>
      <c r="DC2" s="5374"/>
      <c r="DD2" s="5374"/>
      <c r="DE2" s="5376"/>
      <c r="DF2" s="5375"/>
      <c r="DG2" s="1184" t="s">
        <v>423</v>
      </c>
      <c r="DI2" s="436"/>
      <c r="DJ2" s="436" t="str">
        <f t="shared" ref="DJ2:DJ15" si="0">IF(T2="","",T2)</f>
        <v>Наименование тарифа</v>
      </c>
      <c r="DK2" s="436"/>
      <c r="DL2" s="436"/>
      <c r="DM2" s="1081">
        <v>0</v>
      </c>
    </row>
    <row r="3" spans="1:117" ht="21" hidden="1" customHeight="1">
      <c r="A3" s="1289"/>
      <c r="B3" s="1289"/>
      <c r="C3" s="1289"/>
      <c r="D3" s="1289"/>
      <c r="E3" s="5382"/>
      <c r="F3" s="5381">
        <v>1</v>
      </c>
      <c r="G3" s="1289"/>
      <c r="H3" s="1289"/>
      <c r="I3" s="1289"/>
      <c r="J3" s="1289"/>
      <c r="K3" s="1289"/>
      <c r="L3" s="1290"/>
      <c r="M3" s="1291"/>
      <c r="N3" s="1291"/>
      <c r="O3" s="1291"/>
      <c r="P3" s="1258"/>
      <c r="Q3" s="288"/>
      <c r="R3" s="289"/>
      <c r="S3" s="1262" t="e">
        <f>INDEX(PT_DIFFERENTIATION_NUM_TER,MATCH(B3,PT_DIFFERENTIATION_TER_ID,0))</f>
        <v>#N/A</v>
      </c>
      <c r="T3" s="245" t="s">
        <v>424</v>
      </c>
      <c r="U3" s="237"/>
      <c r="V3" s="5373"/>
      <c r="W3" s="5374"/>
      <c r="X3" s="5374"/>
      <c r="Y3" s="5374"/>
      <c r="Z3" s="5374"/>
      <c r="AA3" s="5374"/>
      <c r="AB3" s="5374"/>
      <c r="AC3" s="5375"/>
      <c r="AD3" s="5373" t="e">
        <f>INDEX(PT_DIFFERENTIATION_TER,MATCH(B3,PT_DIFFERENTIATION_TER_ID,0))</f>
        <v>#N/A</v>
      </c>
      <c r="AE3" s="5374"/>
      <c r="AF3" s="5374"/>
      <c r="AG3" s="5374"/>
      <c r="AH3" s="5374"/>
      <c r="AI3" s="5374"/>
      <c r="AJ3" s="5374"/>
      <c r="AK3" s="5374"/>
      <c r="AL3" s="5373"/>
      <c r="AM3" s="5374"/>
      <c r="AN3" s="5374"/>
      <c r="AO3" s="5374"/>
      <c r="AP3" s="5374"/>
      <c r="AQ3" s="5374"/>
      <c r="AR3" s="5374"/>
      <c r="AS3" s="5375"/>
      <c r="AT3" s="5373"/>
      <c r="AU3" s="5374"/>
      <c r="AV3" s="5374"/>
      <c r="AW3" s="5374"/>
      <c r="AX3" s="5374"/>
      <c r="AY3" s="5374"/>
      <c r="AZ3" s="5374"/>
      <c r="BA3" s="5375"/>
      <c r="BB3" s="5373"/>
      <c r="BC3" s="5374"/>
      <c r="BD3" s="5374"/>
      <c r="BE3" s="5374"/>
      <c r="BF3" s="5374"/>
      <c r="BG3" s="5374"/>
      <c r="BH3" s="5374"/>
      <c r="BI3" s="5375"/>
      <c r="BJ3" s="5373"/>
      <c r="BK3" s="5374"/>
      <c r="BL3" s="5374"/>
      <c r="BM3" s="5374"/>
      <c r="BN3" s="5374"/>
      <c r="BO3" s="5374"/>
      <c r="BP3" s="5374"/>
      <c r="BQ3" s="5375"/>
      <c r="BR3" s="5373"/>
      <c r="BS3" s="5374"/>
      <c r="BT3" s="5374"/>
      <c r="BU3" s="5374"/>
      <c r="BV3" s="5374"/>
      <c r="BW3" s="5374"/>
      <c r="BX3" s="5374"/>
      <c r="BY3" s="5375"/>
      <c r="BZ3" s="5373"/>
      <c r="CA3" s="5374"/>
      <c r="CB3" s="5374"/>
      <c r="CC3" s="5374"/>
      <c r="CD3" s="5374"/>
      <c r="CE3" s="5374"/>
      <c r="CF3" s="5374"/>
      <c r="CG3" s="5375"/>
      <c r="CH3" s="5373"/>
      <c r="CI3" s="5374"/>
      <c r="CJ3" s="5374"/>
      <c r="CK3" s="5374"/>
      <c r="CL3" s="5374"/>
      <c r="CM3" s="5374"/>
      <c r="CN3" s="5374"/>
      <c r="CO3" s="5375"/>
      <c r="CP3" s="5373"/>
      <c r="CQ3" s="5374"/>
      <c r="CR3" s="5374"/>
      <c r="CS3" s="5374"/>
      <c r="CT3" s="5374"/>
      <c r="CU3" s="5374"/>
      <c r="CV3" s="5374"/>
      <c r="CW3" s="5375"/>
      <c r="CX3" s="5373"/>
      <c r="CY3" s="5374"/>
      <c r="CZ3" s="5374"/>
      <c r="DA3" s="5374"/>
      <c r="DB3" s="5374"/>
      <c r="DC3" s="5374"/>
      <c r="DD3" s="5374"/>
      <c r="DE3" s="5376"/>
      <c r="DF3" s="5375"/>
      <c r="DG3" s="1184" t="s">
        <v>425</v>
      </c>
      <c r="DI3" s="436"/>
      <c r="DJ3" s="436" t="str">
        <f t="shared" si="0"/>
        <v>Территория действия тарифа</v>
      </c>
      <c r="DK3" s="436"/>
      <c r="DL3" s="436"/>
      <c r="DM3" s="1081">
        <v>0</v>
      </c>
    </row>
    <row r="4" spans="1:117" ht="23.25" hidden="1" customHeight="1">
      <c r="A4" s="1289"/>
      <c r="B4" s="1289"/>
      <c r="C4" s="1289"/>
      <c r="D4" s="1289"/>
      <c r="E4" s="5382"/>
      <c r="F4" s="5382"/>
      <c r="G4" s="5381">
        <v>1</v>
      </c>
      <c r="H4" s="1289"/>
      <c r="I4" s="1289"/>
      <c r="J4" s="1289"/>
      <c r="K4" s="1289"/>
      <c r="L4" s="1290"/>
      <c r="M4" s="1291"/>
      <c r="N4" s="1291"/>
      <c r="O4" s="1291"/>
      <c r="P4" s="290"/>
      <c r="Q4" s="288"/>
      <c r="R4" s="289"/>
      <c r="S4" s="1262" t="e">
        <f>INDEX(PT_DIFFERENTIATION_NUM_CS,MATCH(C4,PT_DIFFERENTIATION_CS_ID,0))</f>
        <v>#N/A</v>
      </c>
      <c r="T4" s="246" t="s">
        <v>426</v>
      </c>
      <c r="U4" s="237"/>
      <c r="V4" s="5373"/>
      <c r="W4" s="5374"/>
      <c r="X4" s="5374"/>
      <c r="Y4" s="5374"/>
      <c r="Z4" s="5374"/>
      <c r="AA4" s="5374"/>
      <c r="AB4" s="5374"/>
      <c r="AC4" s="5375"/>
      <c r="AD4" s="5373" t="e">
        <f>INDEX(PT_DIFFERENTIATION_CS,MATCH(C4,PT_DIFFERENTIATION_CS_ID,0))</f>
        <v>#N/A</v>
      </c>
      <c r="AE4" s="5374"/>
      <c r="AF4" s="5374"/>
      <c r="AG4" s="5374"/>
      <c r="AH4" s="5374"/>
      <c r="AI4" s="5374"/>
      <c r="AJ4" s="5374"/>
      <c r="AK4" s="5374"/>
      <c r="AL4" s="5373"/>
      <c r="AM4" s="5374"/>
      <c r="AN4" s="5374"/>
      <c r="AO4" s="5374"/>
      <c r="AP4" s="5374"/>
      <c r="AQ4" s="5374"/>
      <c r="AR4" s="5374"/>
      <c r="AS4" s="5375"/>
      <c r="AT4" s="5373"/>
      <c r="AU4" s="5374"/>
      <c r="AV4" s="5374"/>
      <c r="AW4" s="5374"/>
      <c r="AX4" s="5374"/>
      <c r="AY4" s="5374"/>
      <c r="AZ4" s="5374"/>
      <c r="BA4" s="5375"/>
      <c r="BB4" s="5373"/>
      <c r="BC4" s="5374"/>
      <c r="BD4" s="5374"/>
      <c r="BE4" s="5374"/>
      <c r="BF4" s="5374"/>
      <c r="BG4" s="5374"/>
      <c r="BH4" s="5374"/>
      <c r="BI4" s="5375"/>
      <c r="BJ4" s="5373"/>
      <c r="BK4" s="5374"/>
      <c r="BL4" s="5374"/>
      <c r="BM4" s="5374"/>
      <c r="BN4" s="5374"/>
      <c r="BO4" s="5374"/>
      <c r="BP4" s="5374"/>
      <c r="BQ4" s="5375"/>
      <c r="BR4" s="5373"/>
      <c r="BS4" s="5374"/>
      <c r="BT4" s="5374"/>
      <c r="BU4" s="5374"/>
      <c r="BV4" s="5374"/>
      <c r="BW4" s="5374"/>
      <c r="BX4" s="5374"/>
      <c r="BY4" s="5375"/>
      <c r="BZ4" s="5373"/>
      <c r="CA4" s="5374"/>
      <c r="CB4" s="5374"/>
      <c r="CC4" s="5374"/>
      <c r="CD4" s="5374"/>
      <c r="CE4" s="5374"/>
      <c r="CF4" s="5374"/>
      <c r="CG4" s="5375"/>
      <c r="CH4" s="5373"/>
      <c r="CI4" s="5374"/>
      <c r="CJ4" s="5374"/>
      <c r="CK4" s="5374"/>
      <c r="CL4" s="5374"/>
      <c r="CM4" s="5374"/>
      <c r="CN4" s="5374"/>
      <c r="CO4" s="5375"/>
      <c r="CP4" s="5373"/>
      <c r="CQ4" s="5374"/>
      <c r="CR4" s="5374"/>
      <c r="CS4" s="5374"/>
      <c r="CT4" s="5374"/>
      <c r="CU4" s="5374"/>
      <c r="CV4" s="5374"/>
      <c r="CW4" s="5375"/>
      <c r="CX4" s="5373"/>
      <c r="CY4" s="5374"/>
      <c r="CZ4" s="5374"/>
      <c r="DA4" s="5374"/>
      <c r="DB4" s="5374"/>
      <c r="DC4" s="5374"/>
      <c r="DD4" s="5374"/>
      <c r="DE4" s="5376"/>
      <c r="DF4" s="5375"/>
      <c r="DG4" s="1184" t="s">
        <v>427</v>
      </c>
      <c r="DI4" s="436"/>
      <c r="DJ4" s="436" t="str">
        <f t="shared" si="0"/>
        <v xml:space="preserve">Наименование системы теплоснабжения </v>
      </c>
      <c r="DK4" s="436"/>
      <c r="DL4" s="436"/>
      <c r="DM4" s="1081">
        <v>0</v>
      </c>
    </row>
    <row r="5" spans="1:117" ht="21" hidden="1" customHeight="1">
      <c r="A5" s="1289"/>
      <c r="B5" s="1289"/>
      <c r="C5" s="1289"/>
      <c r="D5" s="1289"/>
      <c r="E5" s="5382"/>
      <c r="F5" s="5382"/>
      <c r="G5" s="5382"/>
      <c r="H5" s="5381">
        <v>1</v>
      </c>
      <c r="I5" s="1289"/>
      <c r="J5" s="1289"/>
      <c r="K5" s="1289"/>
      <c r="L5" s="1290"/>
      <c r="M5" s="1291"/>
      <c r="N5" s="1291"/>
      <c r="O5" s="1291"/>
      <c r="P5" s="290"/>
      <c r="Q5" s="288"/>
      <c r="R5" s="289"/>
      <c r="S5" s="1262" t="e">
        <f>INDEX(PT_DIFFERENTIATION_NUM_IST_TE,MATCH(D5,PT_DIFFERENTIATION_IST_TE_ID,0))</f>
        <v>#N/A</v>
      </c>
      <c r="T5" s="247" t="s">
        <v>428</v>
      </c>
      <c r="U5" s="237"/>
      <c r="V5" s="5373"/>
      <c r="W5" s="5374"/>
      <c r="X5" s="5374"/>
      <c r="Y5" s="5374"/>
      <c r="Z5" s="5374"/>
      <c r="AA5" s="5374"/>
      <c r="AB5" s="5374"/>
      <c r="AC5" s="5375"/>
      <c r="AD5" s="5373" t="e">
        <f>INDEX(PT_DIFFERENTIATION_IST_TE,MATCH(D5,PT_DIFFERENTIATION_IST_TE_ID,0))</f>
        <v>#N/A</v>
      </c>
      <c r="AE5" s="5374"/>
      <c r="AF5" s="5374"/>
      <c r="AG5" s="5374"/>
      <c r="AH5" s="5374"/>
      <c r="AI5" s="5374"/>
      <c r="AJ5" s="5374"/>
      <c r="AK5" s="5374"/>
      <c r="AL5" s="5373"/>
      <c r="AM5" s="5374"/>
      <c r="AN5" s="5374"/>
      <c r="AO5" s="5374"/>
      <c r="AP5" s="5374"/>
      <c r="AQ5" s="5374"/>
      <c r="AR5" s="5374"/>
      <c r="AS5" s="5375"/>
      <c r="AT5" s="5373"/>
      <c r="AU5" s="5374"/>
      <c r="AV5" s="5374"/>
      <c r="AW5" s="5374"/>
      <c r="AX5" s="5374"/>
      <c r="AY5" s="5374"/>
      <c r="AZ5" s="5374"/>
      <c r="BA5" s="5375"/>
      <c r="BB5" s="5373"/>
      <c r="BC5" s="5374"/>
      <c r="BD5" s="5374"/>
      <c r="BE5" s="5374"/>
      <c r="BF5" s="5374"/>
      <c r="BG5" s="5374"/>
      <c r="BH5" s="5374"/>
      <c r="BI5" s="5375"/>
      <c r="BJ5" s="5373"/>
      <c r="BK5" s="5374"/>
      <c r="BL5" s="5374"/>
      <c r="BM5" s="5374"/>
      <c r="BN5" s="5374"/>
      <c r="BO5" s="5374"/>
      <c r="BP5" s="5374"/>
      <c r="BQ5" s="5375"/>
      <c r="BR5" s="5373"/>
      <c r="BS5" s="5374"/>
      <c r="BT5" s="5374"/>
      <c r="BU5" s="5374"/>
      <c r="BV5" s="5374"/>
      <c r="BW5" s="5374"/>
      <c r="BX5" s="5374"/>
      <c r="BY5" s="5375"/>
      <c r="BZ5" s="5373"/>
      <c r="CA5" s="5374"/>
      <c r="CB5" s="5374"/>
      <c r="CC5" s="5374"/>
      <c r="CD5" s="5374"/>
      <c r="CE5" s="5374"/>
      <c r="CF5" s="5374"/>
      <c r="CG5" s="5375"/>
      <c r="CH5" s="5373"/>
      <c r="CI5" s="5374"/>
      <c r="CJ5" s="5374"/>
      <c r="CK5" s="5374"/>
      <c r="CL5" s="5374"/>
      <c r="CM5" s="5374"/>
      <c r="CN5" s="5374"/>
      <c r="CO5" s="5375"/>
      <c r="CP5" s="5373"/>
      <c r="CQ5" s="5374"/>
      <c r="CR5" s="5374"/>
      <c r="CS5" s="5374"/>
      <c r="CT5" s="5374"/>
      <c r="CU5" s="5374"/>
      <c r="CV5" s="5374"/>
      <c r="CW5" s="5375"/>
      <c r="CX5" s="5373"/>
      <c r="CY5" s="5374"/>
      <c r="CZ5" s="5374"/>
      <c r="DA5" s="5374"/>
      <c r="DB5" s="5374"/>
      <c r="DC5" s="5374"/>
      <c r="DD5" s="5374"/>
      <c r="DE5" s="5376"/>
      <c r="DF5" s="5375"/>
      <c r="DG5" s="1184" t="s">
        <v>429</v>
      </c>
      <c r="DI5" s="436"/>
      <c r="DJ5" s="436" t="str">
        <f t="shared" si="0"/>
        <v xml:space="preserve">Источник тепловой энергии  </v>
      </c>
      <c r="DK5" s="436"/>
      <c r="DL5" s="436"/>
      <c r="DM5" s="1081">
        <v>0</v>
      </c>
    </row>
    <row r="6" spans="1:117" ht="14.25" hidden="1" customHeight="1">
      <c r="A6" s="1289"/>
      <c r="B6" s="1289"/>
      <c r="C6" s="1289"/>
      <c r="D6" s="1289"/>
      <c r="E6" s="5382"/>
      <c r="F6" s="5382"/>
      <c r="G6" s="5382"/>
      <c r="H6" s="5382"/>
      <c r="I6" s="5383" t="e">
        <f>S5&amp;".1"</f>
        <v>#N/A</v>
      </c>
      <c r="J6" s="1289"/>
      <c r="K6" s="1289"/>
      <c r="L6" s="1290" t="s">
        <v>430</v>
      </c>
      <c r="M6" s="473"/>
      <c r="P6" s="5385">
        <v>1</v>
      </c>
      <c r="Q6" s="1257"/>
      <c r="R6" s="292"/>
      <c r="S6" s="971"/>
      <c r="T6" s="1309"/>
      <c r="U6" s="1310"/>
      <c r="V6" s="5420"/>
      <c r="W6" s="5421"/>
      <c r="X6" s="5421"/>
      <c r="Y6" s="5421"/>
      <c r="Z6" s="5421"/>
      <c r="AA6" s="5421"/>
      <c r="AB6" s="5421"/>
      <c r="AC6" s="5422"/>
      <c r="AD6" s="5420"/>
      <c r="AE6" s="5421"/>
      <c r="AF6" s="5421"/>
      <c r="AG6" s="5421"/>
      <c r="AH6" s="5421"/>
      <c r="AI6" s="5421"/>
      <c r="AJ6" s="5421"/>
      <c r="AK6" s="5421"/>
      <c r="AL6" s="5420"/>
      <c r="AM6" s="5421"/>
      <c r="AN6" s="5421"/>
      <c r="AO6" s="5421"/>
      <c r="AP6" s="5421"/>
      <c r="AQ6" s="5421"/>
      <c r="AR6" s="5421"/>
      <c r="AS6" s="5422"/>
      <c r="AT6" s="5420"/>
      <c r="AU6" s="5421"/>
      <c r="AV6" s="5421"/>
      <c r="AW6" s="5421"/>
      <c r="AX6" s="5421"/>
      <c r="AY6" s="5421"/>
      <c r="AZ6" s="5421"/>
      <c r="BA6" s="5422"/>
      <c r="BB6" s="5420"/>
      <c r="BC6" s="5421"/>
      <c r="BD6" s="5421"/>
      <c r="BE6" s="5421"/>
      <c r="BF6" s="5421"/>
      <c r="BG6" s="5421"/>
      <c r="BH6" s="5421"/>
      <c r="BI6" s="5422"/>
      <c r="BJ6" s="5420"/>
      <c r="BK6" s="5421"/>
      <c r="BL6" s="5421"/>
      <c r="BM6" s="5421"/>
      <c r="BN6" s="5421"/>
      <c r="BO6" s="5421"/>
      <c r="BP6" s="5421"/>
      <c r="BQ6" s="5422"/>
      <c r="BR6" s="5420"/>
      <c r="BS6" s="5421"/>
      <c r="BT6" s="5421"/>
      <c r="BU6" s="5421"/>
      <c r="BV6" s="5421"/>
      <c r="BW6" s="5421"/>
      <c r="BX6" s="5421"/>
      <c r="BY6" s="5422"/>
      <c r="BZ6" s="5420"/>
      <c r="CA6" s="5421"/>
      <c r="CB6" s="5421"/>
      <c r="CC6" s="5421"/>
      <c r="CD6" s="5421"/>
      <c r="CE6" s="5421"/>
      <c r="CF6" s="5421"/>
      <c r="CG6" s="5422"/>
      <c r="CH6" s="5420"/>
      <c r="CI6" s="5421"/>
      <c r="CJ6" s="5421"/>
      <c r="CK6" s="5421"/>
      <c r="CL6" s="5421"/>
      <c r="CM6" s="5421"/>
      <c r="CN6" s="5421"/>
      <c r="CO6" s="5422"/>
      <c r="CP6" s="5420"/>
      <c r="CQ6" s="5421"/>
      <c r="CR6" s="5421"/>
      <c r="CS6" s="5421"/>
      <c r="CT6" s="5421"/>
      <c r="CU6" s="5421"/>
      <c r="CV6" s="5421"/>
      <c r="CW6" s="5422"/>
      <c r="CX6" s="5420"/>
      <c r="CY6" s="5421"/>
      <c r="CZ6" s="5421"/>
      <c r="DA6" s="5421"/>
      <c r="DB6" s="5421"/>
      <c r="DC6" s="5421"/>
      <c r="DD6" s="5421"/>
      <c r="DE6" s="5423"/>
      <c r="DF6" s="5422"/>
      <c r="DG6" s="1311"/>
      <c r="DI6" s="436"/>
      <c r="DJ6" s="436" t="str">
        <f t="shared" si="0"/>
        <v/>
      </c>
      <c r="DK6" s="436"/>
      <c r="DL6" s="436"/>
      <c r="DM6" s="1081">
        <v>0</v>
      </c>
    </row>
    <row r="7" spans="1:117" ht="21" hidden="1" customHeight="1">
      <c r="A7" s="1289"/>
      <c r="B7" s="1289"/>
      <c r="C7" s="1289"/>
      <c r="D7" s="1289"/>
      <c r="E7" s="5382"/>
      <c r="F7" s="5382"/>
      <c r="G7" s="5382"/>
      <c r="H7" s="5382"/>
      <c r="I7" s="5384"/>
      <c r="J7" s="5383" t="e">
        <f>I6&amp;".1"</f>
        <v>#N/A</v>
      </c>
      <c r="K7" s="1289"/>
      <c r="L7" s="1290" t="s">
        <v>433</v>
      </c>
      <c r="M7" s="473"/>
      <c r="N7" s="1292"/>
      <c r="P7" s="5385"/>
      <c r="Q7" s="5385">
        <v>1</v>
      </c>
      <c r="R7" s="293"/>
      <c r="S7" s="1262" t="e">
        <f>$J7</f>
        <v>#N/A</v>
      </c>
      <c r="T7" s="223" t="s">
        <v>434</v>
      </c>
      <c r="U7" s="237"/>
      <c r="V7" s="5366"/>
      <c r="W7" s="5367"/>
      <c r="X7" s="5367"/>
      <c r="Y7" s="5367"/>
      <c r="Z7" s="5367"/>
      <c r="AA7" s="5367"/>
      <c r="AB7" s="5367"/>
      <c r="AC7" s="5368"/>
      <c r="AD7" s="5366"/>
      <c r="AE7" s="5367"/>
      <c r="AF7" s="5367"/>
      <c r="AG7" s="5367"/>
      <c r="AH7" s="5367"/>
      <c r="AI7" s="5367"/>
      <c r="AJ7" s="5367"/>
      <c r="AK7" s="5367"/>
      <c r="AL7" s="5366"/>
      <c r="AM7" s="5367"/>
      <c r="AN7" s="5367"/>
      <c r="AO7" s="5367"/>
      <c r="AP7" s="5367"/>
      <c r="AQ7" s="5367"/>
      <c r="AR7" s="5367"/>
      <c r="AS7" s="5368"/>
      <c r="AT7" s="5366"/>
      <c r="AU7" s="5367"/>
      <c r="AV7" s="5367"/>
      <c r="AW7" s="5367"/>
      <c r="AX7" s="5367"/>
      <c r="AY7" s="5367"/>
      <c r="AZ7" s="5367"/>
      <c r="BA7" s="5368"/>
      <c r="BB7" s="5366"/>
      <c r="BC7" s="5367"/>
      <c r="BD7" s="5367"/>
      <c r="BE7" s="5367"/>
      <c r="BF7" s="5367"/>
      <c r="BG7" s="5367"/>
      <c r="BH7" s="5367"/>
      <c r="BI7" s="5368"/>
      <c r="BJ7" s="5366"/>
      <c r="BK7" s="5367"/>
      <c r="BL7" s="5367"/>
      <c r="BM7" s="5367"/>
      <c r="BN7" s="5367"/>
      <c r="BO7" s="5367"/>
      <c r="BP7" s="5367"/>
      <c r="BQ7" s="5368"/>
      <c r="BR7" s="5366"/>
      <c r="BS7" s="5367"/>
      <c r="BT7" s="5367"/>
      <c r="BU7" s="5367"/>
      <c r="BV7" s="5367"/>
      <c r="BW7" s="5367"/>
      <c r="BX7" s="5367"/>
      <c r="BY7" s="5368"/>
      <c r="BZ7" s="5366"/>
      <c r="CA7" s="5367"/>
      <c r="CB7" s="5367"/>
      <c r="CC7" s="5367"/>
      <c r="CD7" s="5367"/>
      <c r="CE7" s="5367"/>
      <c r="CF7" s="5367"/>
      <c r="CG7" s="5368"/>
      <c r="CH7" s="5366"/>
      <c r="CI7" s="5367"/>
      <c r="CJ7" s="5367"/>
      <c r="CK7" s="5367"/>
      <c r="CL7" s="5367"/>
      <c r="CM7" s="5367"/>
      <c r="CN7" s="5367"/>
      <c r="CO7" s="5368"/>
      <c r="CP7" s="5366"/>
      <c r="CQ7" s="5367"/>
      <c r="CR7" s="5367"/>
      <c r="CS7" s="5367"/>
      <c r="CT7" s="5367"/>
      <c r="CU7" s="5367"/>
      <c r="CV7" s="5367"/>
      <c r="CW7" s="5368"/>
      <c r="CX7" s="5366"/>
      <c r="CY7" s="5367"/>
      <c r="CZ7" s="5367"/>
      <c r="DA7" s="5367"/>
      <c r="DB7" s="5367"/>
      <c r="DC7" s="5367"/>
      <c r="DD7" s="5367"/>
      <c r="DE7" s="5369"/>
      <c r="DF7" s="5368"/>
      <c r="DG7" s="1184" t="s">
        <v>435</v>
      </c>
      <c r="DI7" s="436"/>
      <c r="DJ7" s="436" t="str">
        <f t="shared" si="0"/>
        <v>Группа потребителей</v>
      </c>
      <c r="DK7" s="436"/>
      <c r="DL7" s="436"/>
      <c r="DM7" s="1081">
        <v>0</v>
      </c>
    </row>
    <row r="8" spans="1:117" ht="21" hidden="1" customHeight="1">
      <c r="A8" s="1289"/>
      <c r="B8" s="1289"/>
      <c r="C8" s="1289"/>
      <c r="D8" s="1289"/>
      <c r="E8" s="5382"/>
      <c r="F8" s="5382"/>
      <c r="G8" s="5382"/>
      <c r="H8" s="5382"/>
      <c r="I8" s="5384"/>
      <c r="J8" s="5384"/>
      <c r="K8" s="5383" t="e">
        <f>J7&amp;".1"</f>
        <v>#N/A</v>
      </c>
      <c r="L8" s="1290" t="s">
        <v>436</v>
      </c>
      <c r="M8" s="473"/>
      <c r="N8" s="1292"/>
      <c r="O8" s="1292"/>
      <c r="P8" s="5385"/>
      <c r="Q8" s="5385"/>
      <c r="R8" s="293">
        <v>1</v>
      </c>
      <c r="S8" s="1262" t="e">
        <f>$K8</f>
        <v>#N/A</v>
      </c>
      <c r="T8" s="1273"/>
      <c r="U8" s="237"/>
      <c r="V8" s="687"/>
      <c r="W8" s="262"/>
      <c r="X8" s="687"/>
      <c r="Y8" s="1183"/>
      <c r="Z8" s="5386"/>
      <c r="AA8" s="5245" t="s">
        <v>65</v>
      </c>
      <c r="AB8" s="5386"/>
      <c r="AC8" s="5245" t="s">
        <v>65</v>
      </c>
      <c r="AD8" s="687"/>
      <c r="AE8" s="262"/>
      <c r="AF8" s="687"/>
      <c r="AG8" s="1183"/>
      <c r="AH8" s="5386"/>
      <c r="AI8" s="5245" t="s">
        <v>65</v>
      </c>
      <c r="AJ8" s="5386"/>
      <c r="AK8" s="5245" t="s">
        <v>65</v>
      </c>
      <c r="AL8" s="687"/>
      <c r="AM8" s="262"/>
      <c r="AN8" s="687"/>
      <c r="AO8" s="1183"/>
      <c r="AP8" s="5386"/>
      <c r="AQ8" s="5245" t="s">
        <v>65</v>
      </c>
      <c r="AR8" s="5386"/>
      <c r="AS8" s="5245" t="s">
        <v>65</v>
      </c>
      <c r="AT8" s="687"/>
      <c r="AU8" s="262"/>
      <c r="AV8" s="687"/>
      <c r="AW8" s="1183"/>
      <c r="AX8" s="5386"/>
      <c r="AY8" s="5245" t="s">
        <v>65</v>
      </c>
      <c r="AZ8" s="5386"/>
      <c r="BA8" s="5245" t="s">
        <v>65</v>
      </c>
      <c r="BB8" s="687"/>
      <c r="BC8" s="262"/>
      <c r="BD8" s="687"/>
      <c r="BE8" s="1183"/>
      <c r="BF8" s="5386"/>
      <c r="BG8" s="5245" t="s">
        <v>65</v>
      </c>
      <c r="BH8" s="5386"/>
      <c r="BI8" s="5245" t="s">
        <v>65</v>
      </c>
      <c r="BJ8" s="687"/>
      <c r="BK8" s="262"/>
      <c r="BL8" s="687"/>
      <c r="BM8" s="1183"/>
      <c r="BN8" s="5386"/>
      <c r="BO8" s="5245" t="s">
        <v>65</v>
      </c>
      <c r="BP8" s="5386"/>
      <c r="BQ8" s="5245" t="s">
        <v>65</v>
      </c>
      <c r="BR8" s="687"/>
      <c r="BS8" s="262"/>
      <c r="BT8" s="687"/>
      <c r="BU8" s="1183"/>
      <c r="BV8" s="5386"/>
      <c r="BW8" s="5245" t="s">
        <v>65</v>
      </c>
      <c r="BX8" s="5386"/>
      <c r="BY8" s="5245" t="s">
        <v>65</v>
      </c>
      <c r="BZ8" s="687"/>
      <c r="CA8" s="262"/>
      <c r="CB8" s="687"/>
      <c r="CC8" s="1183"/>
      <c r="CD8" s="5386"/>
      <c r="CE8" s="5245" t="s">
        <v>65</v>
      </c>
      <c r="CF8" s="5386"/>
      <c r="CG8" s="5245" t="s">
        <v>65</v>
      </c>
      <c r="CH8" s="687"/>
      <c r="CI8" s="262"/>
      <c r="CJ8" s="687"/>
      <c r="CK8" s="1183"/>
      <c r="CL8" s="5386"/>
      <c r="CM8" s="5245" t="s">
        <v>65</v>
      </c>
      <c r="CN8" s="5386"/>
      <c r="CO8" s="5245" t="s">
        <v>65</v>
      </c>
      <c r="CP8" s="687"/>
      <c r="CQ8" s="262"/>
      <c r="CR8" s="687"/>
      <c r="CS8" s="1183"/>
      <c r="CT8" s="5386"/>
      <c r="CU8" s="5245" t="s">
        <v>65</v>
      </c>
      <c r="CV8" s="5386"/>
      <c r="CW8" s="5245" t="s">
        <v>65</v>
      </c>
      <c r="CX8" s="687"/>
      <c r="CY8" s="262"/>
      <c r="CZ8" s="687"/>
      <c r="DA8" s="1183"/>
      <c r="DB8" s="5386"/>
      <c r="DC8" s="5245" t="s">
        <v>65</v>
      </c>
      <c r="DD8" s="5386"/>
      <c r="DE8" s="5245" t="s">
        <v>65</v>
      </c>
      <c r="DF8" s="262"/>
      <c r="DG8" s="5405" t="s">
        <v>437</v>
      </c>
      <c r="DH8" s="447" t="e">
        <f ca="1">STRCHECKDATE(V9:DF9)</f>
        <v>#NAME?</v>
      </c>
      <c r="DI8" s="436"/>
      <c r="DJ8" s="436" t="str">
        <f t="shared" si="0"/>
        <v/>
      </c>
      <c r="DK8" s="436"/>
      <c r="DL8" s="436"/>
      <c r="DM8" s="1081">
        <v>0</v>
      </c>
    </row>
    <row r="9" spans="1:117" ht="0.75" hidden="1" customHeight="1">
      <c r="A9" s="1289"/>
      <c r="B9" s="1289"/>
      <c r="C9" s="1289"/>
      <c r="D9" s="1289"/>
      <c r="E9" s="5382"/>
      <c r="F9" s="5382"/>
      <c r="G9" s="5382"/>
      <c r="H9" s="5382"/>
      <c r="I9" s="5384"/>
      <c r="J9" s="5384"/>
      <c r="K9" s="5383"/>
      <c r="L9" s="1290"/>
      <c r="M9" s="473"/>
      <c r="N9" s="1292"/>
      <c r="O9" s="1292"/>
      <c r="P9" s="5385"/>
      <c r="Q9" s="5385"/>
      <c r="R9" s="293"/>
      <c r="S9" s="1268"/>
      <c r="T9" s="237"/>
      <c r="U9" s="237"/>
      <c r="V9" s="262"/>
      <c r="W9" s="262"/>
      <c r="X9" s="262"/>
      <c r="Y9" s="265" t="str">
        <f>Z8&amp;"-"&amp;AB8</f>
        <v>-</v>
      </c>
      <c r="Z9" s="5387"/>
      <c r="AA9" s="5245"/>
      <c r="AB9" s="5387"/>
      <c r="AC9" s="5245"/>
      <c r="AD9" s="262"/>
      <c r="AE9" s="262"/>
      <c r="AF9" s="262"/>
      <c r="AG9" s="265" t="str">
        <f>AH8&amp;"-"&amp;AJ8</f>
        <v>-</v>
      </c>
      <c r="AH9" s="5387"/>
      <c r="AI9" s="5245"/>
      <c r="AJ9" s="5387"/>
      <c r="AK9" s="5245"/>
      <c r="AL9" s="262"/>
      <c r="AM9" s="262"/>
      <c r="AN9" s="262"/>
      <c r="AO9" s="265" t="str">
        <f>AP8&amp;"-"&amp;AR8</f>
        <v>-</v>
      </c>
      <c r="AP9" s="5387"/>
      <c r="AQ9" s="5245"/>
      <c r="AR9" s="5387"/>
      <c r="AS9" s="5245"/>
      <c r="AT9" s="262"/>
      <c r="AU9" s="262"/>
      <c r="AV9" s="262"/>
      <c r="AW9" s="265" t="str">
        <f>AX8&amp;"-"&amp;AZ8</f>
        <v>-</v>
      </c>
      <c r="AX9" s="5387"/>
      <c r="AY9" s="5245"/>
      <c r="AZ9" s="5387"/>
      <c r="BA9" s="5245"/>
      <c r="BB9" s="262"/>
      <c r="BC9" s="262"/>
      <c r="BD9" s="262"/>
      <c r="BE9" s="265" t="str">
        <f>BF8&amp;"-"&amp;BH8</f>
        <v>-</v>
      </c>
      <c r="BF9" s="5387"/>
      <c r="BG9" s="5245"/>
      <c r="BH9" s="5387"/>
      <c r="BI9" s="5245"/>
      <c r="BJ9" s="262"/>
      <c r="BK9" s="262"/>
      <c r="BL9" s="262"/>
      <c r="BM9" s="265" t="str">
        <f>BN8&amp;"-"&amp;BP8</f>
        <v>-</v>
      </c>
      <c r="BN9" s="5387"/>
      <c r="BO9" s="5245"/>
      <c r="BP9" s="5387"/>
      <c r="BQ9" s="5245"/>
      <c r="BR9" s="262"/>
      <c r="BS9" s="262"/>
      <c r="BT9" s="262"/>
      <c r="BU9" s="265" t="str">
        <f>BV8&amp;"-"&amp;BX8</f>
        <v>-</v>
      </c>
      <c r="BV9" s="5387"/>
      <c r="BW9" s="5245"/>
      <c r="BX9" s="5387"/>
      <c r="BY9" s="5245"/>
      <c r="BZ9" s="262"/>
      <c r="CA9" s="262"/>
      <c r="CB9" s="262"/>
      <c r="CC9" s="265" t="str">
        <f>CD8&amp;"-"&amp;CF8</f>
        <v>-</v>
      </c>
      <c r="CD9" s="5387"/>
      <c r="CE9" s="5245"/>
      <c r="CF9" s="5387"/>
      <c r="CG9" s="5245"/>
      <c r="CH9" s="262"/>
      <c r="CI9" s="262"/>
      <c r="CJ9" s="262"/>
      <c r="CK9" s="265" t="str">
        <f>CL8&amp;"-"&amp;CN8</f>
        <v>-</v>
      </c>
      <c r="CL9" s="5387"/>
      <c r="CM9" s="5245"/>
      <c r="CN9" s="5387"/>
      <c r="CO9" s="5245"/>
      <c r="CP9" s="262"/>
      <c r="CQ9" s="262"/>
      <c r="CR9" s="262"/>
      <c r="CS9" s="265" t="str">
        <f>CT8&amp;"-"&amp;CV8</f>
        <v>-</v>
      </c>
      <c r="CT9" s="5387"/>
      <c r="CU9" s="5245"/>
      <c r="CV9" s="5387"/>
      <c r="CW9" s="5245"/>
      <c r="CX9" s="262"/>
      <c r="CY9" s="262"/>
      <c r="CZ9" s="262"/>
      <c r="DA9" s="265" t="str">
        <f>DB8&amp;"-"&amp;DD8</f>
        <v>-</v>
      </c>
      <c r="DB9" s="5387"/>
      <c r="DC9" s="5245"/>
      <c r="DD9" s="5387"/>
      <c r="DE9" s="5245"/>
      <c r="DF9" s="262"/>
      <c r="DG9" s="5406"/>
      <c r="DI9" s="436"/>
      <c r="DJ9" s="436" t="str">
        <f t="shared" si="0"/>
        <v/>
      </c>
      <c r="DK9" s="436"/>
      <c r="DL9" s="436"/>
      <c r="DM9" s="1081">
        <v>0</v>
      </c>
    </row>
    <row r="10" spans="1:117" ht="15" hidden="1" customHeight="1">
      <c r="A10" s="1289"/>
      <c r="B10" s="1289"/>
      <c r="C10" s="1289"/>
      <c r="D10" s="1289"/>
      <c r="E10" s="5382"/>
      <c r="F10" s="5382"/>
      <c r="G10" s="5382"/>
      <c r="H10" s="5382"/>
      <c r="I10" s="5384"/>
      <c r="J10" s="5383"/>
      <c r="K10" s="1289"/>
      <c r="L10" s="1290"/>
      <c r="M10" s="473"/>
      <c r="N10" s="1292"/>
      <c r="P10" s="5385"/>
      <c r="Q10" s="5385"/>
      <c r="R10" s="292"/>
      <c r="S10" s="1204"/>
      <c r="T10" s="224" t="s">
        <v>438</v>
      </c>
      <c r="U10" s="303"/>
      <c r="V10" s="303"/>
      <c r="W10" s="303"/>
      <c r="X10" s="303"/>
      <c r="Y10" s="303"/>
      <c r="Z10" s="303"/>
      <c r="AA10" s="303"/>
      <c r="AB10" s="303"/>
      <c r="AC10" s="303"/>
      <c r="AD10" s="303"/>
      <c r="AE10" s="303"/>
      <c r="AF10" s="303"/>
      <c r="AG10" s="303"/>
      <c r="AH10" s="303"/>
      <c r="AI10" s="303"/>
      <c r="AJ10" s="303"/>
      <c r="AK10" s="303"/>
      <c r="AL10" s="4139"/>
      <c r="AM10" s="4140"/>
      <c r="AN10" s="4141"/>
      <c r="AO10" s="4142"/>
      <c r="AP10" s="4143"/>
      <c r="AQ10" s="4144"/>
      <c r="AR10" s="4145"/>
      <c r="AS10" s="4146"/>
      <c r="AT10" s="4147"/>
      <c r="AU10" s="4148"/>
      <c r="AV10" s="4149"/>
      <c r="AW10" s="4150"/>
      <c r="AX10" s="4151"/>
      <c r="AY10" s="4152"/>
      <c r="AZ10" s="4153"/>
      <c r="BA10" s="4154"/>
      <c r="BB10" s="4155"/>
      <c r="BC10" s="4156"/>
      <c r="BD10" s="4157"/>
      <c r="BE10" s="4158"/>
      <c r="BF10" s="4159"/>
      <c r="BG10" s="4160"/>
      <c r="BH10" s="4161"/>
      <c r="BI10" s="4162"/>
      <c r="BJ10" s="4163"/>
      <c r="BK10" s="4164"/>
      <c r="BL10" s="4165"/>
      <c r="BM10" s="4166"/>
      <c r="BN10" s="4167"/>
      <c r="BO10" s="4168"/>
      <c r="BP10" s="4169"/>
      <c r="BQ10" s="4170"/>
      <c r="BR10" s="4171"/>
      <c r="BS10" s="4172"/>
      <c r="BT10" s="4173"/>
      <c r="BU10" s="4174"/>
      <c r="BV10" s="4175"/>
      <c r="BW10" s="4176"/>
      <c r="BX10" s="4177"/>
      <c r="BY10" s="4178"/>
      <c r="BZ10" s="4179"/>
      <c r="CA10" s="4180"/>
      <c r="CB10" s="4181"/>
      <c r="CC10" s="4182"/>
      <c r="CD10" s="4183"/>
      <c r="CE10" s="4184"/>
      <c r="CF10" s="4185"/>
      <c r="CG10" s="4186"/>
      <c r="CH10" s="4187"/>
      <c r="CI10" s="4188"/>
      <c r="CJ10" s="4189"/>
      <c r="CK10" s="4190"/>
      <c r="CL10" s="4191"/>
      <c r="CM10" s="4192"/>
      <c r="CN10" s="4193"/>
      <c r="CO10" s="4194"/>
      <c r="CP10" s="4195"/>
      <c r="CQ10" s="4196"/>
      <c r="CR10" s="4197"/>
      <c r="CS10" s="4198"/>
      <c r="CT10" s="4199"/>
      <c r="CU10" s="4200"/>
      <c r="CV10" s="4201"/>
      <c r="CW10" s="4202"/>
      <c r="CX10" s="4203"/>
      <c r="CY10" s="4204"/>
      <c r="CZ10" s="4205"/>
      <c r="DA10" s="4206"/>
      <c r="DB10" s="4207"/>
      <c r="DC10" s="4208"/>
      <c r="DD10" s="4209"/>
      <c r="DE10" s="5188"/>
      <c r="DF10" s="261"/>
      <c r="DG10" s="5407"/>
      <c r="DI10" s="436"/>
      <c r="DJ10" s="436" t="str">
        <f t="shared" si="0"/>
        <v>Добавить вид теплоносителя (параметры теплоносителя)</v>
      </c>
      <c r="DK10" s="436"/>
      <c r="DL10" s="436"/>
      <c r="DM10" s="1081">
        <v>0</v>
      </c>
    </row>
    <row r="11" spans="1:117" ht="15" hidden="1" customHeight="1">
      <c r="A11" s="1289"/>
      <c r="B11" s="1289"/>
      <c r="C11" s="1289"/>
      <c r="D11" s="1289"/>
      <c r="E11" s="5382"/>
      <c r="F11" s="5382"/>
      <c r="G11" s="5382"/>
      <c r="H11" s="5382"/>
      <c r="I11" s="5383"/>
      <c r="J11" s="1289"/>
      <c r="K11" s="1289"/>
      <c r="L11" s="1290"/>
      <c r="M11" s="473"/>
      <c r="P11" s="5385"/>
      <c r="Q11" s="1257"/>
      <c r="R11" s="292"/>
      <c r="S11" s="1204"/>
      <c r="T11" s="301" t="s">
        <v>439</v>
      </c>
      <c r="U11" s="303"/>
      <c r="V11" s="303"/>
      <c r="W11" s="303"/>
      <c r="X11" s="303"/>
      <c r="Y11" s="303"/>
      <c r="Z11" s="303"/>
      <c r="AA11" s="303"/>
      <c r="AB11" s="303"/>
      <c r="AC11" s="302"/>
      <c r="AD11" s="303"/>
      <c r="AE11" s="303"/>
      <c r="AF11" s="303"/>
      <c r="AG11" s="303"/>
      <c r="AH11" s="303"/>
      <c r="AI11" s="303"/>
      <c r="AJ11" s="303"/>
      <c r="AK11" s="302"/>
      <c r="AL11" s="4210"/>
      <c r="AM11" s="4211"/>
      <c r="AN11" s="4212"/>
      <c r="AO11" s="4213"/>
      <c r="AP11" s="4214"/>
      <c r="AQ11" s="4215"/>
      <c r="AR11" s="4216"/>
      <c r="AS11" s="4217"/>
      <c r="AT11" s="4218"/>
      <c r="AU11" s="4219"/>
      <c r="AV11" s="4220"/>
      <c r="AW11" s="4221"/>
      <c r="AX11" s="4222"/>
      <c r="AY11" s="4223"/>
      <c r="AZ11" s="4224"/>
      <c r="BA11" s="4225"/>
      <c r="BB11" s="4226"/>
      <c r="BC11" s="4227"/>
      <c r="BD11" s="4228"/>
      <c r="BE11" s="4229"/>
      <c r="BF11" s="4230"/>
      <c r="BG11" s="4231"/>
      <c r="BH11" s="4232"/>
      <c r="BI11" s="4233"/>
      <c r="BJ11" s="4234"/>
      <c r="BK11" s="4235"/>
      <c r="BL11" s="4236"/>
      <c r="BM11" s="4237"/>
      <c r="BN11" s="4238"/>
      <c r="BO11" s="4239"/>
      <c r="BP11" s="4240"/>
      <c r="BQ11" s="4241"/>
      <c r="BR11" s="4242"/>
      <c r="BS11" s="4243"/>
      <c r="BT11" s="4244"/>
      <c r="BU11" s="4245"/>
      <c r="BV11" s="4246"/>
      <c r="BW11" s="4247"/>
      <c r="BX11" s="4248"/>
      <c r="BY11" s="4249"/>
      <c r="BZ11" s="4250"/>
      <c r="CA11" s="4251"/>
      <c r="CB11" s="4252"/>
      <c r="CC11" s="4253"/>
      <c r="CD11" s="4254"/>
      <c r="CE11" s="4255"/>
      <c r="CF11" s="4256"/>
      <c r="CG11" s="4257"/>
      <c r="CH11" s="4258"/>
      <c r="CI11" s="4259"/>
      <c r="CJ11" s="4260"/>
      <c r="CK11" s="4261"/>
      <c r="CL11" s="4262"/>
      <c r="CM11" s="4263"/>
      <c r="CN11" s="4264"/>
      <c r="CO11" s="4265"/>
      <c r="CP11" s="4266"/>
      <c r="CQ11" s="4267"/>
      <c r="CR11" s="4268"/>
      <c r="CS11" s="4269"/>
      <c r="CT11" s="4270"/>
      <c r="CU11" s="4271"/>
      <c r="CV11" s="4272"/>
      <c r="CW11" s="4273"/>
      <c r="CX11" s="4274"/>
      <c r="CY11" s="4275"/>
      <c r="CZ11" s="4276"/>
      <c r="DA11" s="4277"/>
      <c r="DB11" s="4278"/>
      <c r="DC11" s="4279"/>
      <c r="DD11" s="4280"/>
      <c r="DE11" s="5189"/>
      <c r="DF11" s="303"/>
      <c r="DG11" s="240"/>
      <c r="DI11" s="436"/>
      <c r="DJ11" s="436" t="str">
        <f t="shared" si="0"/>
        <v>Добавить группу потребителей</v>
      </c>
      <c r="DK11" s="436"/>
      <c r="DL11" s="436"/>
      <c r="DM11" s="1081">
        <v>0</v>
      </c>
    </row>
    <row r="12" spans="1:117" ht="14.25" hidden="1" customHeight="1">
      <c r="A12" s="1289"/>
      <c r="B12" s="1289"/>
      <c r="C12" s="1289"/>
      <c r="D12" s="1289"/>
      <c r="E12" s="5382"/>
      <c r="F12" s="5382"/>
      <c r="G12" s="5382"/>
      <c r="H12" s="538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c r="BG12" s="1314"/>
      <c r="BH12" s="1314"/>
      <c r="BI12" s="1314"/>
      <c r="BJ12" s="1314"/>
      <c r="BK12" s="1314"/>
      <c r="BL12" s="1314"/>
      <c r="BM12" s="1314"/>
      <c r="BN12" s="1314"/>
      <c r="BO12" s="1314"/>
      <c r="BP12" s="1314"/>
      <c r="BQ12" s="1314"/>
      <c r="BR12" s="1314"/>
      <c r="BS12" s="1314"/>
      <c r="BT12" s="1314"/>
      <c r="BU12" s="1314"/>
      <c r="BV12" s="1314"/>
      <c r="BW12" s="1314"/>
      <c r="BX12" s="1314"/>
      <c r="BY12" s="1314"/>
      <c r="BZ12" s="1314"/>
      <c r="CA12" s="1314"/>
      <c r="CB12" s="1314"/>
      <c r="CC12" s="1314"/>
      <c r="CD12" s="1314"/>
      <c r="CE12" s="1314"/>
      <c r="CF12" s="1314"/>
      <c r="CG12" s="1314"/>
      <c r="CH12" s="1314"/>
      <c r="CI12" s="1314"/>
      <c r="CJ12" s="1314"/>
      <c r="CK12" s="1314"/>
      <c r="CL12" s="1314"/>
      <c r="CM12" s="1314"/>
      <c r="CN12" s="1314"/>
      <c r="CO12" s="1314"/>
      <c r="CP12" s="1314"/>
      <c r="CQ12" s="1314"/>
      <c r="CR12" s="1314"/>
      <c r="CS12" s="1314"/>
      <c r="CT12" s="1314"/>
      <c r="CU12" s="1314"/>
      <c r="CV12" s="1314"/>
      <c r="CW12" s="1314"/>
      <c r="CX12" s="1314"/>
      <c r="CY12" s="1314"/>
      <c r="CZ12" s="1314"/>
      <c r="DA12" s="1314"/>
      <c r="DB12" s="1314"/>
      <c r="DC12" s="1314"/>
      <c r="DD12" s="1314"/>
      <c r="DE12" s="5190"/>
      <c r="DF12" s="1314"/>
      <c r="DG12" s="1315"/>
      <c r="DI12" s="436"/>
      <c r="DJ12" s="436" t="str">
        <f t="shared" si="0"/>
        <v/>
      </c>
      <c r="DK12" s="436"/>
      <c r="DL12" s="436"/>
      <c r="DM12" s="1081">
        <v>0</v>
      </c>
    </row>
    <row r="13" spans="1:117" s="1568" customFormat="1" ht="0.75" hidden="1" customHeight="1">
      <c r="A13" s="1240"/>
      <c r="B13" s="1240"/>
      <c r="C13" s="1240"/>
      <c r="D13" s="1240"/>
      <c r="E13" s="5382"/>
      <c r="F13" s="5382"/>
      <c r="G13" s="5381"/>
      <c r="H13" s="1240"/>
      <c r="I13" s="1240"/>
      <c r="J13" s="1240"/>
      <c r="K13" s="1240"/>
      <c r="L13" s="1265"/>
      <c r="M13" s="1241"/>
      <c r="N13" s="1241"/>
      <c r="P13" s="1242"/>
      <c r="Q13" s="1243"/>
      <c r="R13" s="1242"/>
      <c r="S13" s="1244"/>
      <c r="T13" s="1245" t="s">
        <v>163</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c r="CB13" s="1246"/>
      <c r="CC13" s="1246"/>
      <c r="CD13" s="1246"/>
      <c r="CE13" s="1246"/>
      <c r="CF13" s="1246"/>
      <c r="CG13" s="1246"/>
      <c r="CH13" s="1246"/>
      <c r="CI13" s="1246"/>
      <c r="CJ13" s="1246"/>
      <c r="CK13" s="1246"/>
      <c r="CL13" s="1246"/>
      <c r="CM13" s="1246"/>
      <c r="CN13" s="1246"/>
      <c r="CO13" s="1246"/>
      <c r="CP13" s="1246"/>
      <c r="CQ13" s="1246"/>
      <c r="CR13" s="1246"/>
      <c r="CS13" s="1246"/>
      <c r="CT13" s="1246"/>
      <c r="CU13" s="1246"/>
      <c r="CV13" s="1246"/>
      <c r="CW13" s="1246"/>
      <c r="CX13" s="1246"/>
      <c r="CY13" s="1246"/>
      <c r="CZ13" s="1246"/>
      <c r="DA13" s="1246"/>
      <c r="DB13" s="1246"/>
      <c r="DC13" s="1246"/>
      <c r="DD13" s="1246"/>
      <c r="DE13" s="1246"/>
      <c r="DF13" s="1246"/>
      <c r="DG13" s="1246"/>
      <c r="DI13" s="719"/>
      <c r="DJ13" s="719" t="str">
        <f t="shared" si="0"/>
        <v>Добавить источник для дифференциации</v>
      </c>
      <c r="DK13" s="719"/>
      <c r="DL13" s="719"/>
      <c r="DM13" s="454">
        <v>0</v>
      </c>
    </row>
    <row r="14" spans="1:117" s="1568" customFormat="1" ht="0.75" hidden="1" customHeight="1">
      <c r="A14" s="1240"/>
      <c r="B14" s="1240"/>
      <c r="C14" s="1240"/>
      <c r="D14" s="1240"/>
      <c r="E14" s="5382"/>
      <c r="F14" s="5381"/>
      <c r="G14" s="1240"/>
      <c r="H14" s="1240"/>
      <c r="I14" s="1240"/>
      <c r="J14" s="1240"/>
      <c r="K14" s="1240"/>
      <c r="L14" s="1265"/>
      <c r="M14" s="1247"/>
      <c r="N14" s="1247"/>
      <c r="P14" s="1242"/>
      <c r="Q14" s="1243"/>
      <c r="R14" s="1242"/>
      <c r="S14" s="1248"/>
      <c r="T14" s="1249" t="s">
        <v>164</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c r="CB14" s="1250"/>
      <c r="CC14" s="1250"/>
      <c r="CD14" s="1250"/>
      <c r="CE14" s="1250"/>
      <c r="CF14" s="1250"/>
      <c r="CG14" s="1250"/>
      <c r="CH14" s="1250"/>
      <c r="CI14" s="1250"/>
      <c r="CJ14" s="1250"/>
      <c r="CK14" s="1250"/>
      <c r="CL14" s="1250"/>
      <c r="CM14" s="1250"/>
      <c r="CN14" s="1250"/>
      <c r="CO14" s="1250"/>
      <c r="CP14" s="1250"/>
      <c r="CQ14" s="1250"/>
      <c r="CR14" s="1250"/>
      <c r="CS14" s="1250"/>
      <c r="CT14" s="1250"/>
      <c r="CU14" s="1250"/>
      <c r="CV14" s="1250"/>
      <c r="CW14" s="1250"/>
      <c r="CX14" s="1250"/>
      <c r="CY14" s="1250"/>
      <c r="CZ14" s="1250"/>
      <c r="DA14" s="1250"/>
      <c r="DB14" s="1250"/>
      <c r="DC14" s="1250"/>
      <c r="DD14" s="1250"/>
      <c r="DE14" s="1250"/>
      <c r="DF14" s="1250"/>
      <c r="DG14" s="1250"/>
      <c r="DI14" s="719"/>
      <c r="DJ14" s="719" t="str">
        <f t="shared" si="0"/>
        <v>Добавить централизованную систему для дифференциации</v>
      </c>
      <c r="DK14" s="719"/>
      <c r="DL14" s="719"/>
      <c r="DM14" s="454">
        <v>0</v>
      </c>
    </row>
    <row r="15" spans="1:117" s="1568" customFormat="1" ht="0.75" hidden="1" customHeight="1">
      <c r="A15" s="1240"/>
      <c r="B15" s="1240"/>
      <c r="C15" s="1240"/>
      <c r="D15" s="1240"/>
      <c r="E15" s="5381"/>
      <c r="F15" s="1240"/>
      <c r="G15" s="1240"/>
      <c r="H15" s="1240"/>
      <c r="I15" s="1240"/>
      <c r="J15" s="1240"/>
      <c r="K15" s="1240"/>
      <c r="L15" s="1265"/>
      <c r="M15" s="1247"/>
      <c r="N15" s="1247"/>
      <c r="P15" s="1242"/>
      <c r="Q15" s="1243"/>
      <c r="R15" s="1242"/>
      <c r="S15" s="1248"/>
      <c r="T15" s="1251" t="s">
        <v>165</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c r="CB15" s="1250"/>
      <c r="CC15" s="1250"/>
      <c r="CD15" s="1250"/>
      <c r="CE15" s="1250"/>
      <c r="CF15" s="1250"/>
      <c r="CG15" s="1250"/>
      <c r="CH15" s="1250"/>
      <c r="CI15" s="1250"/>
      <c r="CJ15" s="1250"/>
      <c r="CK15" s="1250"/>
      <c r="CL15" s="1250"/>
      <c r="CM15" s="1250"/>
      <c r="CN15" s="1250"/>
      <c r="CO15" s="1250"/>
      <c r="CP15" s="1250"/>
      <c r="CQ15" s="1250"/>
      <c r="CR15" s="1250"/>
      <c r="CS15" s="1250"/>
      <c r="CT15" s="1250"/>
      <c r="CU15" s="1250"/>
      <c r="CV15" s="1250"/>
      <c r="CW15" s="1250"/>
      <c r="CX15" s="1250"/>
      <c r="CY15" s="1250"/>
      <c r="CZ15" s="1250"/>
      <c r="DA15" s="1250"/>
      <c r="DB15" s="1250"/>
      <c r="DC15" s="1250"/>
      <c r="DD15" s="1250"/>
      <c r="DE15" s="1250"/>
      <c r="DF15" s="1250"/>
      <c r="DG15" s="1250"/>
      <c r="DI15" s="719"/>
      <c r="DJ15" s="719" t="str">
        <f t="shared" si="0"/>
        <v>Добавить территорию для дифференциации</v>
      </c>
      <c r="DK15" s="719"/>
      <c r="DL15" s="719"/>
      <c r="DM15" s="454">
        <v>0</v>
      </c>
    </row>
    <row r="16" spans="1:117" ht="14.25" hidden="1" customHeight="1">
      <c r="AC16" s="264"/>
      <c r="AK16" s="264"/>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1561"/>
      <c r="BM16" s="1561"/>
      <c r="BN16" s="1561"/>
      <c r="BO16" s="1561"/>
      <c r="BP16" s="1561"/>
      <c r="BQ16" s="1561"/>
      <c r="BR16" s="1561"/>
      <c r="BS16" s="1561"/>
      <c r="BT16" s="1561"/>
      <c r="BU16" s="1561"/>
      <c r="BV16" s="1561"/>
      <c r="BW16" s="1561"/>
      <c r="BX16" s="1561"/>
      <c r="BY16" s="1561"/>
      <c r="BZ16" s="1561"/>
      <c r="CA16" s="1561"/>
      <c r="CB16" s="1561"/>
      <c r="CC16" s="1561"/>
      <c r="CD16" s="1561"/>
      <c r="CE16" s="1561"/>
      <c r="CF16" s="1561"/>
      <c r="CG16" s="1561"/>
      <c r="CH16" s="1561"/>
      <c r="CI16" s="1561"/>
      <c r="CJ16" s="1561"/>
      <c r="CK16" s="1561"/>
      <c r="CL16" s="1561"/>
      <c r="CM16" s="1561"/>
      <c r="CN16" s="1561"/>
      <c r="CO16" s="1561"/>
      <c r="CP16" s="1561"/>
      <c r="CQ16" s="1561"/>
      <c r="CR16" s="1561"/>
      <c r="CS16" s="1561"/>
      <c r="CT16" s="1561"/>
      <c r="CU16" s="1561"/>
      <c r="CV16" s="1561"/>
      <c r="CW16" s="1561"/>
      <c r="CX16" s="1561"/>
      <c r="CY16" s="1561"/>
      <c r="CZ16" s="1561"/>
      <c r="DA16" s="1561"/>
      <c r="DB16" s="1561"/>
      <c r="DC16" s="1561"/>
      <c r="DD16" s="1561"/>
      <c r="DE16" s="5155"/>
      <c r="DM16" s="1081">
        <v>0</v>
      </c>
    </row>
    <row r="17" spans="1:117" ht="14.25" hidden="1" customHeight="1">
      <c r="AD17" s="1286"/>
      <c r="AE17" s="1286"/>
      <c r="AF17" s="1286"/>
      <c r="AG17" s="1287"/>
      <c r="AH17" s="5378"/>
      <c r="AI17" s="5377" t="s">
        <v>65</v>
      </c>
      <c r="AJ17" s="5378"/>
      <c r="AK17" s="5377" t="s">
        <v>65</v>
      </c>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1561"/>
      <c r="BM17" s="1561"/>
      <c r="BN17" s="1561"/>
      <c r="BO17" s="1561"/>
      <c r="BP17" s="1561"/>
      <c r="BQ17" s="1561"/>
      <c r="BR17" s="1561"/>
      <c r="BS17" s="1561"/>
      <c r="BT17" s="1561"/>
      <c r="BU17" s="1561"/>
      <c r="BV17" s="1561"/>
      <c r="BW17" s="1561"/>
      <c r="BX17" s="1561"/>
      <c r="BY17" s="1561"/>
      <c r="BZ17" s="1561"/>
      <c r="CA17" s="1561"/>
      <c r="CB17" s="1561"/>
      <c r="CC17" s="1561"/>
      <c r="CD17" s="1561"/>
      <c r="CE17" s="1561"/>
      <c r="CF17" s="1561"/>
      <c r="CG17" s="1561"/>
      <c r="CH17" s="1561"/>
      <c r="CI17" s="1561"/>
      <c r="CJ17" s="1561"/>
      <c r="CK17" s="1561"/>
      <c r="CL17" s="1561"/>
      <c r="CM17" s="1561"/>
      <c r="CN17" s="1561"/>
      <c r="CO17" s="1561"/>
      <c r="CP17" s="1561"/>
      <c r="CQ17" s="1561"/>
      <c r="CR17" s="1561"/>
      <c r="CS17" s="1561"/>
      <c r="CT17" s="1561"/>
      <c r="CU17" s="1561"/>
      <c r="CV17" s="1561"/>
      <c r="CW17" s="1561"/>
      <c r="CX17" s="1561"/>
      <c r="CY17" s="1561"/>
      <c r="CZ17" s="1561"/>
      <c r="DA17" s="1561"/>
      <c r="DB17" s="1561"/>
      <c r="DC17" s="1561"/>
      <c r="DD17" s="1561"/>
      <c r="DE17" s="5155"/>
      <c r="DM17" s="1081">
        <v>0</v>
      </c>
    </row>
    <row r="18" spans="1:117" ht="14.25" hidden="1" customHeight="1">
      <c r="AD18" s="1286"/>
      <c r="AE18" s="1286"/>
      <c r="AF18" s="1286"/>
      <c r="AG18" s="265" t="str">
        <f>AH17&amp;"-"&amp;AJ17</f>
        <v>-</v>
      </c>
      <c r="AH18" s="5377"/>
      <c r="AI18" s="5377"/>
      <c r="AJ18" s="5377"/>
      <c r="AK18" s="5377"/>
      <c r="AL18" s="1561"/>
      <c r="AM18" s="1561"/>
      <c r="AN18" s="1561"/>
      <c r="AO18" s="1561"/>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R18" s="1561"/>
      <c r="BS18" s="1561"/>
      <c r="BT18" s="1561"/>
      <c r="BU18" s="1561"/>
      <c r="BV18" s="1561"/>
      <c r="BW18" s="1561"/>
      <c r="BX18" s="1561"/>
      <c r="BY18" s="1561"/>
      <c r="BZ18" s="1561"/>
      <c r="CA18" s="1561"/>
      <c r="CB18" s="1561"/>
      <c r="CC18" s="1561"/>
      <c r="CD18" s="1561"/>
      <c r="CE18" s="1561"/>
      <c r="CF18" s="1561"/>
      <c r="CG18" s="1561"/>
      <c r="CH18" s="1561"/>
      <c r="CI18" s="1561"/>
      <c r="CJ18" s="1561"/>
      <c r="CK18" s="1561"/>
      <c r="CL18" s="1561"/>
      <c r="CM18" s="1561"/>
      <c r="CN18" s="1561"/>
      <c r="CO18" s="1561"/>
      <c r="CP18" s="1561"/>
      <c r="CQ18" s="1561"/>
      <c r="CR18" s="1561"/>
      <c r="CS18" s="1561"/>
      <c r="CT18" s="1561"/>
      <c r="CU18" s="1561"/>
      <c r="CV18" s="1561"/>
      <c r="CW18" s="1561"/>
      <c r="CX18" s="1561"/>
      <c r="CY18" s="1561"/>
      <c r="CZ18" s="1561"/>
      <c r="DA18" s="1561"/>
      <c r="DB18" s="1561"/>
      <c r="DC18" s="1561"/>
      <c r="DD18" s="1561"/>
      <c r="DE18" s="5155"/>
      <c r="DM18" s="1081">
        <v>0</v>
      </c>
    </row>
    <row r="19" spans="1:117" ht="14.25" hidden="1" customHeight="1">
      <c r="AK19" s="264"/>
      <c r="AL19" s="1561"/>
      <c r="AM19" s="1561"/>
      <c r="AN19" s="1561"/>
      <c r="AO19" s="1561"/>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R19" s="1561"/>
      <c r="BS19" s="1561"/>
      <c r="BT19" s="1561"/>
      <c r="BU19" s="1561"/>
      <c r="BV19" s="1561"/>
      <c r="BW19" s="1561"/>
      <c r="BX19" s="1561"/>
      <c r="BY19" s="1561"/>
      <c r="BZ19" s="1561"/>
      <c r="CA19" s="1561"/>
      <c r="CB19" s="1561"/>
      <c r="CC19" s="1561"/>
      <c r="CD19" s="1561"/>
      <c r="CE19" s="1561"/>
      <c r="CF19" s="1561"/>
      <c r="CG19" s="1561"/>
      <c r="CH19" s="1561"/>
      <c r="CI19" s="1561"/>
      <c r="CJ19" s="1561"/>
      <c r="CK19" s="1561"/>
      <c r="CL19" s="1561"/>
      <c r="CM19" s="1561"/>
      <c r="CN19" s="1561"/>
      <c r="CO19" s="1561"/>
      <c r="CP19" s="1561"/>
      <c r="CQ19" s="1561"/>
      <c r="CR19" s="1561"/>
      <c r="CS19" s="1561"/>
      <c r="CT19" s="1561"/>
      <c r="CU19" s="1561"/>
      <c r="CV19" s="1561"/>
      <c r="CW19" s="1561"/>
      <c r="CX19" s="1561"/>
      <c r="CY19" s="1561"/>
      <c r="CZ19" s="1561"/>
      <c r="DA19" s="1561"/>
      <c r="DB19" s="1561"/>
      <c r="DC19" s="1561"/>
      <c r="DD19" s="1561"/>
      <c r="DE19" s="5155"/>
      <c r="DM19" s="1081">
        <v>0</v>
      </c>
    </row>
    <row r="20" spans="1:117" s="1292" customFormat="1" ht="22.5" hidden="1" customHeight="1">
      <c r="L20" s="1255"/>
      <c r="M20" s="1288"/>
      <c r="N20" s="1288"/>
      <c r="O20" s="1293" t="s">
        <v>441</v>
      </c>
      <c r="P20" s="1288"/>
      <c r="Q20" s="1297"/>
      <c r="R20" s="1297"/>
      <c r="S20" s="665"/>
      <c r="Z20" s="1293"/>
      <c r="AB20" s="1293"/>
      <c r="AH20" s="1293"/>
      <c r="AJ20" s="1293"/>
      <c r="AP20" s="1293"/>
      <c r="AR20" s="1293"/>
      <c r="AX20" s="1293"/>
      <c r="AZ20" s="1293"/>
      <c r="BF20" s="1293"/>
      <c r="BH20" s="1293"/>
      <c r="BN20" s="1293"/>
      <c r="BP20" s="1293"/>
      <c r="BV20" s="1293"/>
      <c r="BX20" s="1293"/>
      <c r="CD20" s="1293"/>
      <c r="CF20" s="1293"/>
      <c r="CL20" s="1293"/>
      <c r="CN20" s="1293"/>
      <c r="CT20" s="1293"/>
      <c r="CV20" s="1293"/>
      <c r="DB20" s="1293"/>
      <c r="DD20" s="1293"/>
      <c r="DE20" s="5161"/>
      <c r="DH20" s="447"/>
      <c r="DI20" s="447"/>
      <c r="DJ20" s="447"/>
      <c r="DK20" s="447"/>
      <c r="DL20" s="447"/>
      <c r="DM20" s="1086">
        <v>0</v>
      </c>
    </row>
    <row r="21" spans="1:117" s="1292" customFormat="1" ht="14.25" hidden="1" customHeight="1">
      <c r="L21" s="1255"/>
      <c r="M21" s="1288"/>
      <c r="N21" s="1288"/>
      <c r="O21" s="1288"/>
      <c r="P21" s="1288"/>
      <c r="Q21" s="1297"/>
      <c r="R21" s="1297"/>
      <c r="S21" s="665"/>
      <c r="DE21" s="5161"/>
      <c r="DH21" s="447"/>
      <c r="DI21" s="447"/>
      <c r="DJ21" s="447"/>
      <c r="DK21" s="447"/>
      <c r="DL21" s="447"/>
      <c r="DM21" s="1086">
        <v>0</v>
      </c>
    </row>
    <row r="22" spans="1:117" s="1292" customFormat="1" ht="14.25" hidden="1" customHeight="1">
      <c r="L22" s="1255"/>
      <c r="M22" s="1288"/>
      <c r="N22" s="1288"/>
      <c r="O22" s="1290" t="s">
        <v>442</v>
      </c>
      <c r="P22" s="1288"/>
      <c r="Q22" s="1297"/>
      <c r="R22" s="1297"/>
      <c r="S22" s="665"/>
      <c r="T22" s="1086" t="s">
        <v>443</v>
      </c>
      <c r="AA22" s="124" t="s">
        <v>444</v>
      </c>
      <c r="AC22" s="124" t="s">
        <v>445</v>
      </c>
      <c r="AD22" s="1086" t="s">
        <v>443</v>
      </c>
      <c r="AI22" s="124" t="s">
        <v>446</v>
      </c>
      <c r="AK22" s="124" t="s">
        <v>445</v>
      </c>
      <c r="AQ22" s="1296" t="s">
        <v>444</v>
      </c>
      <c r="AS22" s="1296" t="s">
        <v>445</v>
      </c>
      <c r="AY22" s="1296" t="s">
        <v>444</v>
      </c>
      <c r="BA22" s="1296" t="s">
        <v>445</v>
      </c>
      <c r="BG22" s="1296" t="s">
        <v>444</v>
      </c>
      <c r="BI22" s="1296" t="s">
        <v>445</v>
      </c>
      <c r="BO22" s="1296" t="s">
        <v>444</v>
      </c>
      <c r="BQ22" s="1296" t="s">
        <v>445</v>
      </c>
      <c r="BW22" s="1296" t="s">
        <v>444</v>
      </c>
      <c r="BY22" s="1296" t="s">
        <v>445</v>
      </c>
      <c r="CE22" s="1296" t="s">
        <v>444</v>
      </c>
      <c r="CG22" s="1296" t="s">
        <v>445</v>
      </c>
      <c r="CM22" s="1296" t="s">
        <v>444</v>
      </c>
      <c r="CO22" s="1296" t="s">
        <v>445</v>
      </c>
      <c r="CU22" s="1296" t="s">
        <v>444</v>
      </c>
      <c r="CW22" s="1296" t="s">
        <v>445</v>
      </c>
      <c r="DC22" s="1296" t="s">
        <v>444</v>
      </c>
      <c r="DE22" s="5162" t="s">
        <v>445</v>
      </c>
      <c r="DH22" s="447"/>
      <c r="DI22" s="447"/>
      <c r="DJ22" s="447"/>
      <c r="DK22" s="447"/>
      <c r="DL22" s="447"/>
      <c r="DM22" s="1086">
        <v>0</v>
      </c>
    </row>
    <row r="23" spans="1:117" ht="14.25" hidden="1" customHeight="1">
      <c r="O23" s="1290"/>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BZ23" s="1561"/>
      <c r="CA23" s="1561"/>
      <c r="CB23" s="1561"/>
      <c r="CC23" s="1561"/>
      <c r="CD23" s="1561"/>
      <c r="CE23" s="1561"/>
      <c r="CF23" s="1561"/>
      <c r="CG23" s="1561"/>
      <c r="CH23" s="1561"/>
      <c r="CI23" s="1561"/>
      <c r="CJ23" s="1561"/>
      <c r="CK23" s="1561"/>
      <c r="CL23" s="1561"/>
      <c r="CM23" s="1561"/>
      <c r="CN23" s="1561"/>
      <c r="CO23" s="1561"/>
      <c r="CP23" s="1561"/>
      <c r="CQ23" s="1561"/>
      <c r="CR23" s="1561"/>
      <c r="CS23" s="1561"/>
      <c r="CT23" s="1561"/>
      <c r="CU23" s="1561"/>
      <c r="CV23" s="1561"/>
      <c r="CW23" s="1561"/>
      <c r="CX23" s="1561"/>
      <c r="CY23" s="1561"/>
      <c r="CZ23" s="1561"/>
      <c r="DA23" s="1561"/>
      <c r="DB23" s="1561"/>
      <c r="DC23" s="1561"/>
      <c r="DD23" s="1561"/>
      <c r="DE23" s="5155"/>
      <c r="DM23" s="1081">
        <v>0</v>
      </c>
    </row>
    <row r="24" spans="1:117" ht="14.25" hidden="1" customHeight="1">
      <c r="O24" s="1290"/>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561"/>
      <c r="BN24" s="1561"/>
      <c r="BO24" s="1561"/>
      <c r="BP24" s="1561"/>
      <c r="BQ24" s="1561"/>
      <c r="BR24" s="1561"/>
      <c r="BS24" s="1561"/>
      <c r="BT24" s="1561"/>
      <c r="BU24" s="1561"/>
      <c r="BV24" s="1561"/>
      <c r="BW24" s="1561"/>
      <c r="BX24" s="1561"/>
      <c r="BY24" s="1561"/>
      <c r="BZ24" s="1561"/>
      <c r="CA24" s="1561"/>
      <c r="CB24" s="1561"/>
      <c r="CC24" s="1561"/>
      <c r="CD24" s="1561"/>
      <c r="CE24" s="1561"/>
      <c r="CF24" s="1561"/>
      <c r="CG24" s="1561"/>
      <c r="CH24" s="1561"/>
      <c r="CI24" s="1561"/>
      <c r="CJ24" s="1561"/>
      <c r="CK24" s="1561"/>
      <c r="CL24" s="1561"/>
      <c r="CM24" s="1561"/>
      <c r="CN24" s="1561"/>
      <c r="CO24" s="1561"/>
      <c r="CP24" s="1561"/>
      <c r="CQ24" s="1561"/>
      <c r="CR24" s="1561"/>
      <c r="CS24" s="1561"/>
      <c r="CT24" s="1561"/>
      <c r="CU24" s="1561"/>
      <c r="CV24" s="1561"/>
      <c r="CW24" s="1561"/>
      <c r="CX24" s="1561"/>
      <c r="CY24" s="1561"/>
      <c r="CZ24" s="1561"/>
      <c r="DA24" s="1561"/>
      <c r="DB24" s="1561"/>
      <c r="DC24" s="1561"/>
      <c r="DD24" s="1561"/>
      <c r="DE24" s="5155"/>
      <c r="DM24" s="1081">
        <v>0</v>
      </c>
    </row>
    <row r="25" spans="1:117"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AT25" s="1561"/>
      <c r="AU25" s="1561"/>
      <c r="AV25" s="1561"/>
      <c r="AW25" s="1561"/>
      <c r="AX25" s="1561"/>
      <c r="AY25" s="1561"/>
      <c r="AZ25" s="1561"/>
      <c r="BA25" s="1561"/>
      <c r="BB25" s="1561"/>
      <c r="BC25" s="1561"/>
      <c r="BD25" s="1561"/>
      <c r="BE25" s="1561"/>
      <c r="BF25" s="1561"/>
      <c r="BG25" s="1561"/>
      <c r="BH25" s="1561"/>
      <c r="BI25" s="1561"/>
      <c r="BJ25" s="1561"/>
      <c r="BK25" s="1561"/>
      <c r="BL25" s="1561"/>
      <c r="BM25" s="1561"/>
      <c r="BN25" s="1561"/>
      <c r="BO25" s="1561"/>
      <c r="BP25" s="1561"/>
      <c r="BQ25" s="1561"/>
      <c r="BR25" s="1561"/>
      <c r="BS25" s="1561"/>
      <c r="BT25" s="1561"/>
      <c r="BU25" s="1561"/>
      <c r="BV25" s="1561"/>
      <c r="BW25" s="1561"/>
      <c r="BX25" s="1561"/>
      <c r="BY25" s="1561"/>
      <c r="BZ25" s="1561"/>
      <c r="CA25" s="1561"/>
      <c r="CB25" s="1561"/>
      <c r="CC25" s="1561"/>
      <c r="CD25" s="1561"/>
      <c r="CE25" s="1561"/>
      <c r="CF25" s="1561"/>
      <c r="CG25" s="1561"/>
      <c r="CH25" s="1561"/>
      <c r="CI25" s="1561"/>
      <c r="CJ25" s="1561"/>
      <c r="CK25" s="1561"/>
      <c r="CL25" s="1561"/>
      <c r="CM25" s="1561"/>
      <c r="CN25" s="1561"/>
      <c r="CO25" s="1561"/>
      <c r="CP25" s="1561"/>
      <c r="CQ25" s="1561"/>
      <c r="CR25" s="1561"/>
      <c r="CS25" s="1561"/>
      <c r="CT25" s="1561"/>
      <c r="CU25" s="1561"/>
      <c r="CV25" s="1561"/>
      <c r="CW25" s="1561"/>
      <c r="CX25" s="1561"/>
      <c r="CY25" s="1561"/>
      <c r="CZ25" s="1561"/>
      <c r="DA25" s="1561"/>
      <c r="DB25" s="1561"/>
      <c r="DC25" s="1561"/>
      <c r="DD25" s="1561"/>
      <c r="DE25" s="5155"/>
      <c r="DM25" s="1081">
        <v>14</v>
      </c>
    </row>
    <row r="26" spans="1:117" ht="63" customHeight="1">
      <c r="Q26" s="312"/>
      <c r="R26" s="312"/>
      <c r="S26" s="535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359"/>
      <c r="U26" s="5359"/>
      <c r="V26" s="5359"/>
      <c r="W26" s="5359"/>
      <c r="X26" s="5359"/>
      <c r="Y26" s="5359"/>
      <c r="Z26" s="5359"/>
      <c r="AA26" s="5359"/>
      <c r="AB26" s="5359"/>
      <c r="AC26" s="5359"/>
      <c r="AD26" s="5359"/>
      <c r="AE26" s="5359"/>
      <c r="AF26" s="5359"/>
      <c r="AG26" s="5359"/>
      <c r="AH26" s="5359"/>
      <c r="AI26" s="5359"/>
      <c r="AJ26" s="5359"/>
      <c r="AK26" s="1169"/>
      <c r="AL26" s="2008"/>
      <c r="AM26" s="2008"/>
      <c r="AN26" s="2008"/>
      <c r="AO26" s="2008"/>
      <c r="AP26" s="2008"/>
      <c r="AQ26" s="2008"/>
      <c r="AR26" s="2008"/>
      <c r="AS26" s="2008"/>
      <c r="AT26" s="2008"/>
      <c r="AU26" s="2008"/>
      <c r="AV26" s="2008"/>
      <c r="AW26" s="2008"/>
      <c r="AX26" s="2008"/>
      <c r="AY26" s="2008"/>
      <c r="AZ26" s="2008"/>
      <c r="BA26" s="2008"/>
      <c r="BB26" s="2008"/>
      <c r="BC26" s="2008"/>
      <c r="BD26" s="2008"/>
      <c r="BE26" s="2008"/>
      <c r="BF26" s="2008"/>
      <c r="BG26" s="2008"/>
      <c r="BH26" s="2008"/>
      <c r="BI26" s="2008"/>
      <c r="BJ26" s="2008"/>
      <c r="BK26" s="2008"/>
      <c r="BL26" s="2008"/>
      <c r="BM26" s="2008"/>
      <c r="BN26" s="2008"/>
      <c r="BO26" s="2008"/>
      <c r="BP26" s="2008"/>
      <c r="BQ26" s="2008"/>
      <c r="BR26" s="2008"/>
      <c r="BS26" s="2008"/>
      <c r="BT26" s="2008"/>
      <c r="BU26" s="2008"/>
      <c r="BV26" s="2008"/>
      <c r="BW26" s="2008"/>
      <c r="BX26" s="2008"/>
      <c r="BY26" s="2008"/>
      <c r="BZ26" s="2008"/>
      <c r="CA26" s="2008"/>
      <c r="CB26" s="2008"/>
      <c r="CC26" s="2008"/>
      <c r="CD26" s="2008"/>
      <c r="CE26" s="2008"/>
      <c r="CF26" s="2008"/>
      <c r="CG26" s="2008"/>
      <c r="CH26" s="2008"/>
      <c r="CI26" s="2008"/>
      <c r="CJ26" s="2008"/>
      <c r="CK26" s="2008"/>
      <c r="CL26" s="2008"/>
      <c r="CM26" s="2008"/>
      <c r="CN26" s="2008"/>
      <c r="CO26" s="2008"/>
      <c r="CP26" s="2008"/>
      <c r="CQ26" s="2008"/>
      <c r="CR26" s="2008"/>
      <c r="CS26" s="2008"/>
      <c r="CT26" s="2008"/>
      <c r="CU26" s="2008"/>
      <c r="CV26" s="2008"/>
      <c r="CW26" s="2008"/>
      <c r="CX26" s="2008"/>
      <c r="CY26" s="2008"/>
      <c r="CZ26" s="2008"/>
      <c r="DA26" s="2008"/>
      <c r="DB26" s="2008"/>
      <c r="DC26" s="2008"/>
      <c r="DD26" s="2008"/>
      <c r="DE26" s="5163"/>
      <c r="DM26" s="1081">
        <v>60</v>
      </c>
    </row>
    <row r="27" spans="1:117" ht="14.65" customHeight="1">
      <c r="Q27" s="312"/>
      <c r="R27" s="312"/>
      <c r="S27" s="5331" t="str">
        <f>IF(org=0,"Не определено",org)</f>
        <v>ПАО "ТГК-1" филиал "Невский"</v>
      </c>
      <c r="T27" s="5331"/>
      <c r="U27" s="5331"/>
      <c r="V27" s="5331"/>
      <c r="W27" s="5331"/>
      <c r="X27" s="5331"/>
      <c r="Y27" s="5331"/>
      <c r="Z27" s="5331"/>
      <c r="AA27" s="5331"/>
      <c r="AB27" s="5331"/>
      <c r="AC27" s="5331"/>
      <c r="AD27" s="5331"/>
      <c r="AE27" s="5331"/>
      <c r="AF27" s="5331"/>
      <c r="AG27" s="5331"/>
      <c r="AH27" s="5331"/>
      <c r="AI27" s="5331"/>
      <c r="AJ27" s="5331"/>
      <c r="AK27" s="1169"/>
      <c r="AL27" s="2009"/>
      <c r="AM27" s="2009"/>
      <c r="AN27" s="2009"/>
      <c r="AO27" s="2009"/>
      <c r="AP27" s="2009"/>
      <c r="AQ27" s="2009"/>
      <c r="AR27" s="2009"/>
      <c r="AS27" s="2009"/>
      <c r="AT27" s="2009"/>
      <c r="AU27" s="2009"/>
      <c r="AV27" s="2009"/>
      <c r="AW27" s="2009"/>
      <c r="AX27" s="2009"/>
      <c r="AY27" s="2009"/>
      <c r="AZ27" s="2009"/>
      <c r="BA27" s="2009"/>
      <c r="BB27" s="2009"/>
      <c r="BC27" s="2009"/>
      <c r="BD27" s="2009"/>
      <c r="BE27" s="2009"/>
      <c r="BF27" s="2009"/>
      <c r="BG27" s="2009"/>
      <c r="BH27" s="2009"/>
      <c r="BI27" s="2009"/>
      <c r="BJ27" s="2009"/>
      <c r="BK27" s="2009"/>
      <c r="BL27" s="2009"/>
      <c r="BM27" s="2009"/>
      <c r="BN27" s="2009"/>
      <c r="BO27" s="2009"/>
      <c r="BP27" s="2009"/>
      <c r="BQ27" s="2009"/>
      <c r="BR27" s="2009"/>
      <c r="BS27" s="2009"/>
      <c r="BT27" s="2009"/>
      <c r="BU27" s="2009"/>
      <c r="BV27" s="2009"/>
      <c r="BW27" s="2009"/>
      <c r="BX27" s="2009"/>
      <c r="BY27" s="2009"/>
      <c r="BZ27" s="2009"/>
      <c r="CA27" s="2009"/>
      <c r="CB27" s="2009"/>
      <c r="CC27" s="2009"/>
      <c r="CD27" s="2009"/>
      <c r="CE27" s="2009"/>
      <c r="CF27" s="2009"/>
      <c r="CG27" s="2009"/>
      <c r="CH27" s="2009"/>
      <c r="CI27" s="2009"/>
      <c r="CJ27" s="2009"/>
      <c r="CK27" s="2009"/>
      <c r="CL27" s="2009"/>
      <c r="CM27" s="2009"/>
      <c r="CN27" s="2009"/>
      <c r="CO27" s="2009"/>
      <c r="CP27" s="2009"/>
      <c r="CQ27" s="2009"/>
      <c r="CR27" s="2009"/>
      <c r="CS27" s="2009"/>
      <c r="CT27" s="2009"/>
      <c r="CU27" s="2009"/>
      <c r="CV27" s="2009"/>
      <c r="CW27" s="2009"/>
      <c r="CX27" s="2009"/>
      <c r="CY27" s="2009"/>
      <c r="CZ27" s="2009"/>
      <c r="DA27" s="2009"/>
      <c r="DB27" s="2009"/>
      <c r="DC27" s="2009"/>
      <c r="DD27" s="2009"/>
      <c r="DE27" s="5164"/>
      <c r="DM27" s="1081">
        <v>14</v>
      </c>
    </row>
    <row r="28" spans="1:117"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59"/>
      <c r="CZ28" s="259"/>
      <c r="DA28" s="259"/>
      <c r="DB28" s="259"/>
      <c r="DC28" s="259"/>
      <c r="DD28" s="259"/>
      <c r="DE28" s="5165"/>
      <c r="DF28" s="445"/>
      <c r="DM28" s="1081">
        <v>0</v>
      </c>
    </row>
    <row r="29" spans="1:117" s="1777" customFormat="1" ht="25.5" customHeight="1">
      <c r="A29" s="1294"/>
      <c r="B29" s="1294"/>
      <c r="C29" s="1294"/>
      <c r="D29" s="1294"/>
      <c r="E29" s="1294"/>
      <c r="F29" s="1294"/>
      <c r="G29" s="1294"/>
      <c r="H29" s="1294"/>
      <c r="I29" s="1294"/>
      <c r="J29" s="1294"/>
      <c r="K29" s="1294"/>
      <c r="L29" s="1295"/>
      <c r="M29" s="1294"/>
      <c r="N29" s="1294"/>
      <c r="O29" s="1294"/>
      <c r="S29" s="5370" t="s">
        <v>42</v>
      </c>
      <c r="T29" s="5370"/>
      <c r="U29" s="1298"/>
      <c r="V29" s="5372" t="str">
        <f>IF(TITLE_NAME_OR_PR_CHANGE="",IF(TITLE_NAME_OR_PR="","",TITLE_NAME_OR_PR),TITLE_NAME_OR_PR_CHANGE)</f>
        <v>Комитет по тарифам Санкт-Петербурга</v>
      </c>
      <c r="W29" s="5372"/>
      <c r="X29" s="5372"/>
      <c r="Y29" s="5372"/>
      <c r="Z29" s="5372"/>
      <c r="AA29" s="5372"/>
      <c r="AB29" s="5372"/>
      <c r="AC29" s="263"/>
      <c r="AD29" s="5372" t="str">
        <f>IF(TITLE_NAME_OR_PR_CHANGE="",IF(TITLE_NAME_OR_PR="","",TITLE_NAME_OR_PR),TITLE_NAME_OR_PR_CHANGE)</f>
        <v>Комитет по тарифам Санкт-Петербурга</v>
      </c>
      <c r="AE29" s="5372"/>
      <c r="AF29" s="5372"/>
      <c r="AG29" s="5372"/>
      <c r="AH29" s="5372"/>
      <c r="AI29" s="5372"/>
      <c r="AJ29" s="5372"/>
      <c r="AK29" s="263"/>
      <c r="AL29" s="5372" t="str">
        <f>IF(TITLE_NAME_OR_PR_CHANGE="",IF(TITLE_NAME_OR_PR="","",TITLE_NAME_OR_PR),TITLE_NAME_OR_PR_CHANGE)</f>
        <v>Комитет по тарифам Санкт-Петербурга</v>
      </c>
      <c r="AM29" s="5372"/>
      <c r="AN29" s="5372"/>
      <c r="AO29" s="5372"/>
      <c r="AP29" s="5372"/>
      <c r="AQ29" s="5372"/>
      <c r="AR29" s="5372"/>
      <c r="AS29" s="1561"/>
      <c r="AT29" s="5372" t="str">
        <f>IF(TITLE_NAME_OR_PR_CHANGE="",IF(TITLE_NAME_OR_PR="","",TITLE_NAME_OR_PR),TITLE_NAME_OR_PR_CHANGE)</f>
        <v>Комитет по тарифам Санкт-Петербурга</v>
      </c>
      <c r="AU29" s="5372"/>
      <c r="AV29" s="5372"/>
      <c r="AW29" s="5372"/>
      <c r="AX29" s="5372"/>
      <c r="AY29" s="5372"/>
      <c r="AZ29" s="5372"/>
      <c r="BA29" s="1561"/>
      <c r="BB29" s="5372" t="str">
        <f>IF(TITLE_NAME_OR_PR_CHANGE="",IF(TITLE_NAME_OR_PR="","",TITLE_NAME_OR_PR),TITLE_NAME_OR_PR_CHANGE)</f>
        <v>Комитет по тарифам Санкт-Петербурга</v>
      </c>
      <c r="BC29" s="5372"/>
      <c r="BD29" s="5372"/>
      <c r="BE29" s="5372"/>
      <c r="BF29" s="5372"/>
      <c r="BG29" s="5372"/>
      <c r="BH29" s="5372"/>
      <c r="BI29" s="1561"/>
      <c r="BJ29" s="5372" t="str">
        <f>IF(TITLE_NAME_OR_PR_CHANGE="",IF(TITLE_NAME_OR_PR="","",TITLE_NAME_OR_PR),TITLE_NAME_OR_PR_CHANGE)</f>
        <v>Комитет по тарифам Санкт-Петербурга</v>
      </c>
      <c r="BK29" s="5372"/>
      <c r="BL29" s="5372"/>
      <c r="BM29" s="5372"/>
      <c r="BN29" s="5372"/>
      <c r="BO29" s="5372"/>
      <c r="BP29" s="5372"/>
      <c r="BQ29" s="1561"/>
      <c r="BR29" s="5372" t="str">
        <f>IF(TITLE_NAME_OR_PR_CHANGE="",IF(TITLE_NAME_OR_PR="","",TITLE_NAME_OR_PR),TITLE_NAME_OR_PR_CHANGE)</f>
        <v>Комитет по тарифам Санкт-Петербурга</v>
      </c>
      <c r="BS29" s="5372"/>
      <c r="BT29" s="5372"/>
      <c r="BU29" s="5372"/>
      <c r="BV29" s="5372"/>
      <c r="BW29" s="5372"/>
      <c r="BX29" s="5372"/>
      <c r="BY29" s="1561"/>
      <c r="BZ29" s="5372" t="str">
        <f>IF(TITLE_NAME_OR_PR_CHANGE="",IF(TITLE_NAME_OR_PR="","",TITLE_NAME_OR_PR),TITLE_NAME_OR_PR_CHANGE)</f>
        <v>Комитет по тарифам Санкт-Петербурга</v>
      </c>
      <c r="CA29" s="5372"/>
      <c r="CB29" s="5372"/>
      <c r="CC29" s="5372"/>
      <c r="CD29" s="5372"/>
      <c r="CE29" s="5372"/>
      <c r="CF29" s="5372"/>
      <c r="CG29" s="1561"/>
      <c r="CH29" s="5372" t="str">
        <f>IF(TITLE_NAME_OR_PR_CHANGE="",IF(TITLE_NAME_OR_PR="","",TITLE_NAME_OR_PR),TITLE_NAME_OR_PR_CHANGE)</f>
        <v>Комитет по тарифам Санкт-Петербурга</v>
      </c>
      <c r="CI29" s="5372"/>
      <c r="CJ29" s="5372"/>
      <c r="CK29" s="5372"/>
      <c r="CL29" s="5372"/>
      <c r="CM29" s="5372"/>
      <c r="CN29" s="5372"/>
      <c r="CO29" s="1561"/>
      <c r="CP29" s="5372" t="str">
        <f>IF(TITLE_NAME_OR_PR_CHANGE="",IF(TITLE_NAME_OR_PR="","",TITLE_NAME_OR_PR),TITLE_NAME_OR_PR_CHANGE)</f>
        <v>Комитет по тарифам Санкт-Петербурга</v>
      </c>
      <c r="CQ29" s="5372"/>
      <c r="CR29" s="5372"/>
      <c r="CS29" s="5372"/>
      <c r="CT29" s="5372"/>
      <c r="CU29" s="5372"/>
      <c r="CV29" s="5372"/>
      <c r="CW29" s="1561"/>
      <c r="CX29" s="5372" t="str">
        <f>IF(TITLE_NAME_OR_PR_CHANGE="",IF(TITLE_NAME_OR_PR="","",TITLE_NAME_OR_PR),TITLE_NAME_OR_PR_CHANGE)</f>
        <v>Комитет по тарифам Санкт-Петербурга</v>
      </c>
      <c r="CY29" s="5372"/>
      <c r="CZ29" s="5372"/>
      <c r="DA29" s="5372"/>
      <c r="DB29" s="5372"/>
      <c r="DC29" s="5372"/>
      <c r="DD29" s="5372"/>
      <c r="DE29" s="5155"/>
      <c r="DF29" s="263"/>
      <c r="DG29" s="217"/>
      <c r="DH29" s="304"/>
      <c r="DI29" s="304"/>
      <c r="DJ29" s="304"/>
      <c r="DK29" s="304"/>
      <c r="DL29" s="304"/>
      <c r="DM29" s="354">
        <v>0</v>
      </c>
    </row>
    <row r="30" spans="1:117" s="1777" customFormat="1" ht="18.75" customHeight="1">
      <c r="A30" s="1294"/>
      <c r="B30" s="1294"/>
      <c r="C30" s="1294"/>
      <c r="D30" s="1294"/>
      <c r="E30" s="1294"/>
      <c r="F30" s="1294"/>
      <c r="G30" s="1294"/>
      <c r="H30" s="1294"/>
      <c r="I30" s="1294"/>
      <c r="J30" s="1294"/>
      <c r="K30" s="1294"/>
      <c r="L30" s="1295"/>
      <c r="M30" s="1294"/>
      <c r="N30" s="1294"/>
      <c r="O30" s="1294"/>
      <c r="S30" s="5370" t="s">
        <v>447</v>
      </c>
      <c r="T30" s="5370"/>
      <c r="U30" s="1298"/>
      <c r="V30" s="5371">
        <f>IF(TITLE_DATE_PR_CHANGE="",IF(TITLE_DATE_PR="","",TITLE_DATE_PR),TITLE_DATE_PR_CHANGE)</f>
        <v>45470</v>
      </c>
      <c r="W30" s="5371"/>
      <c r="X30" s="5371"/>
      <c r="Y30" s="5371"/>
      <c r="Z30" s="5371"/>
      <c r="AA30" s="5371"/>
      <c r="AB30" s="5371"/>
      <c r="AC30" s="263"/>
      <c r="AD30" s="5371">
        <f>IF(TITLE_DATE_PR_CHANGE="",IF(TITLE_DATE_PR="","",TITLE_DATE_PR),TITLE_DATE_PR_CHANGE)</f>
        <v>45470</v>
      </c>
      <c r="AE30" s="5371"/>
      <c r="AF30" s="5371"/>
      <c r="AG30" s="5371"/>
      <c r="AH30" s="5371"/>
      <c r="AI30" s="5371"/>
      <c r="AJ30" s="5371"/>
      <c r="AK30" s="263"/>
      <c r="AL30" s="5371">
        <f>IF(TITLE_DATE_PR_CHANGE="",IF(TITLE_DATE_PR="","",TITLE_DATE_PR),TITLE_DATE_PR_CHANGE)</f>
        <v>45470</v>
      </c>
      <c r="AM30" s="5371"/>
      <c r="AN30" s="5371"/>
      <c r="AO30" s="5371"/>
      <c r="AP30" s="5371"/>
      <c r="AQ30" s="5371"/>
      <c r="AR30" s="5371"/>
      <c r="AS30" s="1561"/>
      <c r="AT30" s="5371">
        <f>IF(TITLE_DATE_PR_CHANGE="",IF(TITLE_DATE_PR="","",TITLE_DATE_PR),TITLE_DATE_PR_CHANGE)</f>
        <v>45470</v>
      </c>
      <c r="AU30" s="5371"/>
      <c r="AV30" s="5371"/>
      <c r="AW30" s="5371"/>
      <c r="AX30" s="5371"/>
      <c r="AY30" s="5371"/>
      <c r="AZ30" s="5371"/>
      <c r="BA30" s="1561"/>
      <c r="BB30" s="5371">
        <f>IF(TITLE_DATE_PR_CHANGE="",IF(TITLE_DATE_PR="","",TITLE_DATE_PR),TITLE_DATE_PR_CHANGE)</f>
        <v>45470</v>
      </c>
      <c r="BC30" s="5371"/>
      <c r="BD30" s="5371"/>
      <c r="BE30" s="5371"/>
      <c r="BF30" s="5371"/>
      <c r="BG30" s="5371"/>
      <c r="BH30" s="5371"/>
      <c r="BI30" s="1561"/>
      <c r="BJ30" s="5371">
        <f>IF(TITLE_DATE_PR_CHANGE="",IF(TITLE_DATE_PR="","",TITLE_DATE_PR),TITLE_DATE_PR_CHANGE)</f>
        <v>45470</v>
      </c>
      <c r="BK30" s="5371"/>
      <c r="BL30" s="5371"/>
      <c r="BM30" s="5371"/>
      <c r="BN30" s="5371"/>
      <c r="BO30" s="5371"/>
      <c r="BP30" s="5371"/>
      <c r="BQ30" s="1561"/>
      <c r="BR30" s="5371">
        <f>IF(TITLE_DATE_PR_CHANGE="",IF(TITLE_DATE_PR="","",TITLE_DATE_PR),TITLE_DATE_PR_CHANGE)</f>
        <v>45470</v>
      </c>
      <c r="BS30" s="5371"/>
      <c r="BT30" s="5371"/>
      <c r="BU30" s="5371"/>
      <c r="BV30" s="5371"/>
      <c r="BW30" s="5371"/>
      <c r="BX30" s="5371"/>
      <c r="BY30" s="1561"/>
      <c r="BZ30" s="5371">
        <f>IF(TITLE_DATE_PR_CHANGE="",IF(TITLE_DATE_PR="","",TITLE_DATE_PR),TITLE_DATE_PR_CHANGE)</f>
        <v>45470</v>
      </c>
      <c r="CA30" s="5371"/>
      <c r="CB30" s="5371"/>
      <c r="CC30" s="5371"/>
      <c r="CD30" s="5371"/>
      <c r="CE30" s="5371"/>
      <c r="CF30" s="5371"/>
      <c r="CG30" s="1561"/>
      <c r="CH30" s="5371">
        <f>IF(TITLE_DATE_PR_CHANGE="",IF(TITLE_DATE_PR="","",TITLE_DATE_PR),TITLE_DATE_PR_CHANGE)</f>
        <v>45470</v>
      </c>
      <c r="CI30" s="5371"/>
      <c r="CJ30" s="5371"/>
      <c r="CK30" s="5371"/>
      <c r="CL30" s="5371"/>
      <c r="CM30" s="5371"/>
      <c r="CN30" s="5371"/>
      <c r="CO30" s="1561"/>
      <c r="CP30" s="5371">
        <f>IF(TITLE_DATE_PR_CHANGE="",IF(TITLE_DATE_PR="","",TITLE_DATE_PR),TITLE_DATE_PR_CHANGE)</f>
        <v>45470</v>
      </c>
      <c r="CQ30" s="5371"/>
      <c r="CR30" s="5371"/>
      <c r="CS30" s="5371"/>
      <c r="CT30" s="5371"/>
      <c r="CU30" s="5371"/>
      <c r="CV30" s="5371"/>
      <c r="CW30" s="1561"/>
      <c r="CX30" s="5371">
        <f>IF(TITLE_DATE_PR_CHANGE="",IF(TITLE_DATE_PR="","",TITLE_DATE_PR),TITLE_DATE_PR_CHANGE)</f>
        <v>45470</v>
      </c>
      <c r="CY30" s="5371"/>
      <c r="CZ30" s="5371"/>
      <c r="DA30" s="5371"/>
      <c r="DB30" s="5371"/>
      <c r="DC30" s="5371"/>
      <c r="DD30" s="5371"/>
      <c r="DE30" s="5155"/>
      <c r="DF30" s="263"/>
      <c r="DG30" s="217"/>
      <c r="DH30" s="304"/>
      <c r="DI30" s="304"/>
      <c r="DJ30" s="304"/>
      <c r="DK30" s="304"/>
      <c r="DL30" s="304"/>
      <c r="DM30" s="354">
        <v>0</v>
      </c>
    </row>
    <row r="31" spans="1:117" s="1777" customFormat="1" ht="18.75" customHeight="1">
      <c r="A31" s="1294"/>
      <c r="B31" s="1294"/>
      <c r="C31" s="1294"/>
      <c r="D31" s="1294"/>
      <c r="E31" s="1294"/>
      <c r="F31" s="1294"/>
      <c r="G31" s="1294"/>
      <c r="H31" s="1294"/>
      <c r="I31" s="1294"/>
      <c r="J31" s="1294"/>
      <c r="K31" s="1294"/>
      <c r="L31" s="1295"/>
      <c r="M31" s="1294"/>
      <c r="N31" s="1294"/>
      <c r="O31" s="1294"/>
      <c r="S31" s="5370" t="s">
        <v>448</v>
      </c>
      <c r="T31" s="5370"/>
      <c r="U31" s="1298"/>
      <c r="V31" s="5372" t="str">
        <f>IF(TITLE_NUMBER_PR_CHANGE="",IF(TITLE_NUMBER_PR="","",TITLE_NUMBER_PR),TITLE_NUMBER_PR_CHANGE)</f>
        <v>94-р</v>
      </c>
      <c r="W31" s="5372"/>
      <c r="X31" s="5372"/>
      <c r="Y31" s="5372"/>
      <c r="Z31" s="5372"/>
      <c r="AA31" s="5372"/>
      <c r="AB31" s="5372"/>
      <c r="AC31" s="263"/>
      <c r="AD31" s="5372" t="str">
        <f>IF(TITLE_NUMBER_PR_CHANGE="",IF(TITLE_NUMBER_PR="","",TITLE_NUMBER_PR),TITLE_NUMBER_PR_CHANGE)</f>
        <v>94-р</v>
      </c>
      <c r="AE31" s="5372"/>
      <c r="AF31" s="5372"/>
      <c r="AG31" s="5372"/>
      <c r="AH31" s="5372"/>
      <c r="AI31" s="5372"/>
      <c r="AJ31" s="5372"/>
      <c r="AK31" s="263"/>
      <c r="AL31" s="5372" t="str">
        <f>IF(TITLE_NUMBER_PR_CHANGE="",IF(TITLE_NUMBER_PR="","",TITLE_NUMBER_PR),TITLE_NUMBER_PR_CHANGE)</f>
        <v>94-р</v>
      </c>
      <c r="AM31" s="5372"/>
      <c r="AN31" s="5372"/>
      <c r="AO31" s="5372"/>
      <c r="AP31" s="5372"/>
      <c r="AQ31" s="5372"/>
      <c r="AR31" s="5372"/>
      <c r="AS31" s="1561"/>
      <c r="AT31" s="5372" t="str">
        <f>IF(TITLE_NUMBER_PR_CHANGE="",IF(TITLE_NUMBER_PR="","",TITLE_NUMBER_PR),TITLE_NUMBER_PR_CHANGE)</f>
        <v>94-р</v>
      </c>
      <c r="AU31" s="5372"/>
      <c r="AV31" s="5372"/>
      <c r="AW31" s="5372"/>
      <c r="AX31" s="5372"/>
      <c r="AY31" s="5372"/>
      <c r="AZ31" s="5372"/>
      <c r="BA31" s="1561"/>
      <c r="BB31" s="5372" t="str">
        <f>IF(TITLE_NUMBER_PR_CHANGE="",IF(TITLE_NUMBER_PR="","",TITLE_NUMBER_PR),TITLE_NUMBER_PR_CHANGE)</f>
        <v>94-р</v>
      </c>
      <c r="BC31" s="5372"/>
      <c r="BD31" s="5372"/>
      <c r="BE31" s="5372"/>
      <c r="BF31" s="5372"/>
      <c r="BG31" s="5372"/>
      <c r="BH31" s="5372"/>
      <c r="BI31" s="1561"/>
      <c r="BJ31" s="5372" t="str">
        <f>IF(TITLE_NUMBER_PR_CHANGE="",IF(TITLE_NUMBER_PR="","",TITLE_NUMBER_PR),TITLE_NUMBER_PR_CHANGE)</f>
        <v>94-р</v>
      </c>
      <c r="BK31" s="5372"/>
      <c r="BL31" s="5372"/>
      <c r="BM31" s="5372"/>
      <c r="BN31" s="5372"/>
      <c r="BO31" s="5372"/>
      <c r="BP31" s="5372"/>
      <c r="BQ31" s="1561"/>
      <c r="BR31" s="5372" t="str">
        <f>IF(TITLE_NUMBER_PR_CHANGE="",IF(TITLE_NUMBER_PR="","",TITLE_NUMBER_PR),TITLE_NUMBER_PR_CHANGE)</f>
        <v>94-р</v>
      </c>
      <c r="BS31" s="5372"/>
      <c r="BT31" s="5372"/>
      <c r="BU31" s="5372"/>
      <c r="BV31" s="5372"/>
      <c r="BW31" s="5372"/>
      <c r="BX31" s="5372"/>
      <c r="BY31" s="1561"/>
      <c r="BZ31" s="5372" t="str">
        <f>IF(TITLE_NUMBER_PR_CHANGE="",IF(TITLE_NUMBER_PR="","",TITLE_NUMBER_PR),TITLE_NUMBER_PR_CHANGE)</f>
        <v>94-р</v>
      </c>
      <c r="CA31" s="5372"/>
      <c r="CB31" s="5372"/>
      <c r="CC31" s="5372"/>
      <c r="CD31" s="5372"/>
      <c r="CE31" s="5372"/>
      <c r="CF31" s="5372"/>
      <c r="CG31" s="1561"/>
      <c r="CH31" s="5372" t="str">
        <f>IF(TITLE_NUMBER_PR_CHANGE="",IF(TITLE_NUMBER_PR="","",TITLE_NUMBER_PR),TITLE_NUMBER_PR_CHANGE)</f>
        <v>94-р</v>
      </c>
      <c r="CI31" s="5372"/>
      <c r="CJ31" s="5372"/>
      <c r="CK31" s="5372"/>
      <c r="CL31" s="5372"/>
      <c r="CM31" s="5372"/>
      <c r="CN31" s="5372"/>
      <c r="CO31" s="1561"/>
      <c r="CP31" s="5372" t="str">
        <f>IF(TITLE_NUMBER_PR_CHANGE="",IF(TITLE_NUMBER_PR="","",TITLE_NUMBER_PR),TITLE_NUMBER_PR_CHANGE)</f>
        <v>94-р</v>
      </c>
      <c r="CQ31" s="5372"/>
      <c r="CR31" s="5372"/>
      <c r="CS31" s="5372"/>
      <c r="CT31" s="5372"/>
      <c r="CU31" s="5372"/>
      <c r="CV31" s="5372"/>
      <c r="CW31" s="1561"/>
      <c r="CX31" s="5372" t="str">
        <f>IF(TITLE_NUMBER_PR_CHANGE="",IF(TITLE_NUMBER_PR="","",TITLE_NUMBER_PR),TITLE_NUMBER_PR_CHANGE)</f>
        <v>94-р</v>
      </c>
      <c r="CY31" s="5372"/>
      <c r="CZ31" s="5372"/>
      <c r="DA31" s="5372"/>
      <c r="DB31" s="5372"/>
      <c r="DC31" s="5372"/>
      <c r="DD31" s="5372"/>
      <c r="DE31" s="5155"/>
      <c r="DF31" s="263"/>
      <c r="DG31" s="217"/>
      <c r="DH31" s="304"/>
      <c r="DI31" s="304"/>
      <c r="DJ31" s="304"/>
      <c r="DK31" s="304"/>
      <c r="DL31" s="304"/>
      <c r="DM31" s="354">
        <v>0</v>
      </c>
    </row>
    <row r="32" spans="1:117" s="1777" customFormat="1" ht="18.75" customHeight="1">
      <c r="A32" s="1294"/>
      <c r="B32" s="1294"/>
      <c r="C32" s="1294"/>
      <c r="D32" s="1294"/>
      <c r="E32" s="1294"/>
      <c r="F32" s="1294"/>
      <c r="G32" s="1294"/>
      <c r="H32" s="1294"/>
      <c r="I32" s="1294"/>
      <c r="J32" s="1294"/>
      <c r="K32" s="1294"/>
      <c r="L32" s="1295"/>
      <c r="M32" s="1294"/>
      <c r="N32" s="1294"/>
      <c r="O32" s="1294"/>
      <c r="S32" s="5370" t="s">
        <v>44</v>
      </c>
      <c r="T32" s="5370"/>
      <c r="U32" s="1298"/>
      <c r="V32" s="5372" t="str">
        <f>IF(TITLE_IST_PUB_CHANGE="",IF(TITLE_IST_PUB="","",TITLE_IST_PUB),TITLE_IST_PUB_CHANGE)</f>
        <v>http://publication.pravo.gov.ru/document/7801202407010029</v>
      </c>
      <c r="W32" s="5372"/>
      <c r="X32" s="5372"/>
      <c r="Y32" s="5372"/>
      <c r="Z32" s="5372"/>
      <c r="AA32" s="5372"/>
      <c r="AB32" s="5372"/>
      <c r="AC32" s="263"/>
      <c r="AD32" s="5372" t="str">
        <f>IF(TITLE_IST_PUB_CHANGE="",IF(TITLE_IST_PUB="","",TITLE_IST_PUB),TITLE_IST_PUB_CHANGE)</f>
        <v>http://publication.pravo.gov.ru/document/7801202407010029</v>
      </c>
      <c r="AE32" s="5372"/>
      <c r="AF32" s="5372"/>
      <c r="AG32" s="5372"/>
      <c r="AH32" s="5372"/>
      <c r="AI32" s="5372"/>
      <c r="AJ32" s="5372"/>
      <c r="AK32" s="263"/>
      <c r="AL32" s="5372" t="str">
        <f>IF(TITLE_IST_PUB_CHANGE="",IF(TITLE_IST_PUB="","",TITLE_IST_PUB),TITLE_IST_PUB_CHANGE)</f>
        <v>http://publication.pravo.gov.ru/document/7801202407010029</v>
      </c>
      <c r="AM32" s="5372"/>
      <c r="AN32" s="5372"/>
      <c r="AO32" s="5372"/>
      <c r="AP32" s="5372"/>
      <c r="AQ32" s="5372"/>
      <c r="AR32" s="5372"/>
      <c r="AS32" s="1561"/>
      <c r="AT32" s="5372" t="str">
        <f>IF(TITLE_IST_PUB_CHANGE="",IF(TITLE_IST_PUB="","",TITLE_IST_PUB),TITLE_IST_PUB_CHANGE)</f>
        <v>http://publication.pravo.gov.ru/document/7801202407010029</v>
      </c>
      <c r="AU32" s="5372"/>
      <c r="AV32" s="5372"/>
      <c r="AW32" s="5372"/>
      <c r="AX32" s="5372"/>
      <c r="AY32" s="5372"/>
      <c r="AZ32" s="5372"/>
      <c r="BA32" s="1561"/>
      <c r="BB32" s="5372" t="str">
        <f>IF(TITLE_IST_PUB_CHANGE="",IF(TITLE_IST_PUB="","",TITLE_IST_PUB),TITLE_IST_PUB_CHANGE)</f>
        <v>http://publication.pravo.gov.ru/document/7801202407010029</v>
      </c>
      <c r="BC32" s="5372"/>
      <c r="BD32" s="5372"/>
      <c r="BE32" s="5372"/>
      <c r="BF32" s="5372"/>
      <c r="BG32" s="5372"/>
      <c r="BH32" s="5372"/>
      <c r="BI32" s="1561"/>
      <c r="BJ32" s="5372" t="str">
        <f>IF(TITLE_IST_PUB_CHANGE="",IF(TITLE_IST_PUB="","",TITLE_IST_PUB),TITLE_IST_PUB_CHANGE)</f>
        <v>http://publication.pravo.gov.ru/document/7801202407010029</v>
      </c>
      <c r="BK32" s="5372"/>
      <c r="BL32" s="5372"/>
      <c r="BM32" s="5372"/>
      <c r="BN32" s="5372"/>
      <c r="BO32" s="5372"/>
      <c r="BP32" s="5372"/>
      <c r="BQ32" s="1561"/>
      <c r="BR32" s="5372" t="str">
        <f>IF(TITLE_IST_PUB_CHANGE="",IF(TITLE_IST_PUB="","",TITLE_IST_PUB),TITLE_IST_PUB_CHANGE)</f>
        <v>http://publication.pravo.gov.ru/document/7801202407010029</v>
      </c>
      <c r="BS32" s="5372"/>
      <c r="BT32" s="5372"/>
      <c r="BU32" s="5372"/>
      <c r="BV32" s="5372"/>
      <c r="BW32" s="5372"/>
      <c r="BX32" s="5372"/>
      <c r="BY32" s="1561"/>
      <c r="BZ32" s="5372" t="str">
        <f>IF(TITLE_IST_PUB_CHANGE="",IF(TITLE_IST_PUB="","",TITLE_IST_PUB),TITLE_IST_PUB_CHANGE)</f>
        <v>http://publication.pravo.gov.ru/document/7801202407010029</v>
      </c>
      <c r="CA32" s="5372"/>
      <c r="CB32" s="5372"/>
      <c r="CC32" s="5372"/>
      <c r="CD32" s="5372"/>
      <c r="CE32" s="5372"/>
      <c r="CF32" s="5372"/>
      <c r="CG32" s="1561"/>
      <c r="CH32" s="5372" t="str">
        <f>IF(TITLE_IST_PUB_CHANGE="",IF(TITLE_IST_PUB="","",TITLE_IST_PUB),TITLE_IST_PUB_CHANGE)</f>
        <v>http://publication.pravo.gov.ru/document/7801202407010029</v>
      </c>
      <c r="CI32" s="5372"/>
      <c r="CJ32" s="5372"/>
      <c r="CK32" s="5372"/>
      <c r="CL32" s="5372"/>
      <c r="CM32" s="5372"/>
      <c r="CN32" s="5372"/>
      <c r="CO32" s="1561"/>
      <c r="CP32" s="5372" t="str">
        <f>IF(TITLE_IST_PUB_CHANGE="",IF(TITLE_IST_PUB="","",TITLE_IST_PUB),TITLE_IST_PUB_CHANGE)</f>
        <v>http://publication.pravo.gov.ru/document/7801202407010029</v>
      </c>
      <c r="CQ32" s="5372"/>
      <c r="CR32" s="5372"/>
      <c r="CS32" s="5372"/>
      <c r="CT32" s="5372"/>
      <c r="CU32" s="5372"/>
      <c r="CV32" s="5372"/>
      <c r="CW32" s="1561"/>
      <c r="CX32" s="5372" t="str">
        <f>IF(TITLE_IST_PUB_CHANGE="",IF(TITLE_IST_PUB="","",TITLE_IST_PUB),TITLE_IST_PUB_CHANGE)</f>
        <v>http://publication.pravo.gov.ru/document/7801202407010029</v>
      </c>
      <c r="CY32" s="5372"/>
      <c r="CZ32" s="5372"/>
      <c r="DA32" s="5372"/>
      <c r="DB32" s="5372"/>
      <c r="DC32" s="5372"/>
      <c r="DD32" s="5372"/>
      <c r="DE32" s="5155"/>
      <c r="DF32" s="263"/>
      <c r="DG32" s="217"/>
      <c r="DH32" s="304"/>
      <c r="DI32" s="304"/>
      <c r="DJ32" s="304"/>
      <c r="DK32" s="304"/>
      <c r="DL32" s="304"/>
      <c r="DM32" s="354">
        <v>0</v>
      </c>
    </row>
    <row r="33" spans="1:117"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259"/>
      <c r="CQ33" s="259"/>
      <c r="CR33" s="259"/>
      <c r="CS33" s="259"/>
      <c r="CT33" s="259"/>
      <c r="CU33" s="259"/>
      <c r="CV33" s="259"/>
      <c r="CW33" s="259"/>
      <c r="CX33" s="259"/>
      <c r="CY33" s="259"/>
      <c r="CZ33" s="259"/>
      <c r="DA33" s="259"/>
      <c r="DB33" s="259"/>
      <c r="DC33" s="259"/>
      <c r="DD33" s="259"/>
      <c r="DE33" s="5165"/>
      <c r="DF33" s="445"/>
      <c r="DM33" s="1081">
        <v>0</v>
      </c>
    </row>
    <row r="34" spans="1:117" s="1777" customFormat="1" ht="18.75" hidden="1" customHeight="1">
      <c r="A34" s="1294"/>
      <c r="B34" s="1294"/>
      <c r="C34" s="1294"/>
      <c r="D34" s="1294"/>
      <c r="E34" s="1294"/>
      <c r="F34" s="1294"/>
      <c r="G34" s="1294"/>
      <c r="H34" s="1294"/>
      <c r="I34" s="1294"/>
      <c r="J34" s="1294"/>
      <c r="K34" s="1294"/>
      <c r="L34" s="1295"/>
      <c r="M34" s="1294"/>
      <c r="N34" s="1294"/>
      <c r="O34" s="1294"/>
      <c r="S34" s="5370" t="s">
        <v>449</v>
      </c>
      <c r="T34" s="5370"/>
      <c r="U34" s="1298"/>
      <c r="V34" s="5371">
        <f>IF(TITLE_DATE_PR_CHANGE="",IF(TITLE_DATE_PR="","",TITLE_DATE_PR),TITLE_DATE_PR_CHANGE)</f>
        <v>45470</v>
      </c>
      <c r="W34" s="5371"/>
      <c r="X34" s="5371"/>
      <c r="Y34" s="5371"/>
      <c r="Z34" s="5371"/>
      <c r="AA34" s="5371"/>
      <c r="AB34" s="5371"/>
      <c r="AC34" s="263"/>
      <c r="AD34" s="5371">
        <f>IF(TITLE_DATE_PR_CHANGE="",IF(TITLE_DATE_PR="","",TITLE_DATE_PR),TITLE_DATE_PR_CHANGE)</f>
        <v>45470</v>
      </c>
      <c r="AE34" s="5371"/>
      <c r="AF34" s="5371"/>
      <c r="AG34" s="5371"/>
      <c r="AH34" s="5371"/>
      <c r="AI34" s="5371"/>
      <c r="AJ34" s="5371"/>
      <c r="AK34" s="263"/>
      <c r="AL34" s="5371">
        <f>IF(TITLE_DATE_PR_CHANGE="",IF(TITLE_DATE_PR="","",TITLE_DATE_PR),TITLE_DATE_PR_CHANGE)</f>
        <v>45470</v>
      </c>
      <c r="AM34" s="5371"/>
      <c r="AN34" s="5371"/>
      <c r="AO34" s="5371"/>
      <c r="AP34" s="5371"/>
      <c r="AQ34" s="5371"/>
      <c r="AR34" s="5371"/>
      <c r="AS34" s="1561"/>
      <c r="AT34" s="5371">
        <f>IF(TITLE_DATE_PR_CHANGE="",IF(TITLE_DATE_PR="","",TITLE_DATE_PR),TITLE_DATE_PR_CHANGE)</f>
        <v>45470</v>
      </c>
      <c r="AU34" s="5371"/>
      <c r="AV34" s="5371"/>
      <c r="AW34" s="5371"/>
      <c r="AX34" s="5371"/>
      <c r="AY34" s="5371"/>
      <c r="AZ34" s="5371"/>
      <c r="BA34" s="1561"/>
      <c r="BB34" s="5371">
        <f>IF(TITLE_DATE_PR_CHANGE="",IF(TITLE_DATE_PR="","",TITLE_DATE_PR),TITLE_DATE_PR_CHANGE)</f>
        <v>45470</v>
      </c>
      <c r="BC34" s="5371"/>
      <c r="BD34" s="5371"/>
      <c r="BE34" s="5371"/>
      <c r="BF34" s="5371"/>
      <c r="BG34" s="5371"/>
      <c r="BH34" s="5371"/>
      <c r="BI34" s="1561"/>
      <c r="BJ34" s="5371">
        <f>IF(TITLE_DATE_PR_CHANGE="",IF(TITLE_DATE_PR="","",TITLE_DATE_PR),TITLE_DATE_PR_CHANGE)</f>
        <v>45470</v>
      </c>
      <c r="BK34" s="5371"/>
      <c r="BL34" s="5371"/>
      <c r="BM34" s="5371"/>
      <c r="BN34" s="5371"/>
      <c r="BO34" s="5371"/>
      <c r="BP34" s="5371"/>
      <c r="BQ34" s="1561"/>
      <c r="BR34" s="5371">
        <f>IF(TITLE_DATE_PR_CHANGE="",IF(TITLE_DATE_PR="","",TITLE_DATE_PR),TITLE_DATE_PR_CHANGE)</f>
        <v>45470</v>
      </c>
      <c r="BS34" s="5371"/>
      <c r="BT34" s="5371"/>
      <c r="BU34" s="5371"/>
      <c r="BV34" s="5371"/>
      <c r="BW34" s="5371"/>
      <c r="BX34" s="5371"/>
      <c r="BY34" s="1561"/>
      <c r="BZ34" s="5371">
        <f>IF(TITLE_DATE_PR_CHANGE="",IF(TITLE_DATE_PR="","",TITLE_DATE_PR),TITLE_DATE_PR_CHANGE)</f>
        <v>45470</v>
      </c>
      <c r="CA34" s="5371"/>
      <c r="CB34" s="5371"/>
      <c r="CC34" s="5371"/>
      <c r="CD34" s="5371"/>
      <c r="CE34" s="5371"/>
      <c r="CF34" s="5371"/>
      <c r="CG34" s="1561"/>
      <c r="CH34" s="5371">
        <f>IF(TITLE_DATE_PR_CHANGE="",IF(TITLE_DATE_PR="","",TITLE_DATE_PR),TITLE_DATE_PR_CHANGE)</f>
        <v>45470</v>
      </c>
      <c r="CI34" s="5371"/>
      <c r="CJ34" s="5371"/>
      <c r="CK34" s="5371"/>
      <c r="CL34" s="5371"/>
      <c r="CM34" s="5371"/>
      <c r="CN34" s="5371"/>
      <c r="CO34" s="1561"/>
      <c r="CP34" s="5371">
        <f>IF(TITLE_DATE_PR_CHANGE="",IF(TITLE_DATE_PR="","",TITLE_DATE_PR),TITLE_DATE_PR_CHANGE)</f>
        <v>45470</v>
      </c>
      <c r="CQ34" s="5371"/>
      <c r="CR34" s="5371"/>
      <c r="CS34" s="5371"/>
      <c r="CT34" s="5371"/>
      <c r="CU34" s="5371"/>
      <c r="CV34" s="5371"/>
      <c r="CW34" s="1561"/>
      <c r="CX34" s="5371">
        <f>IF(TITLE_DATE_PR_CHANGE="",IF(TITLE_DATE_PR="","",TITLE_DATE_PR),TITLE_DATE_PR_CHANGE)</f>
        <v>45470</v>
      </c>
      <c r="CY34" s="5371"/>
      <c r="CZ34" s="5371"/>
      <c r="DA34" s="5371"/>
      <c r="DB34" s="5371"/>
      <c r="DC34" s="5371"/>
      <c r="DD34" s="5371"/>
      <c r="DE34" s="5155"/>
      <c r="DF34" s="263"/>
      <c r="DG34" s="217"/>
      <c r="DH34" s="304"/>
      <c r="DI34" s="304"/>
      <c r="DJ34" s="304"/>
      <c r="DK34" s="304"/>
      <c r="DL34" s="304"/>
      <c r="DM34" s="354">
        <v>0</v>
      </c>
    </row>
    <row r="35" spans="1:117" s="1777" customFormat="1" ht="18.75" hidden="1" customHeight="1">
      <c r="A35" s="1294"/>
      <c r="B35" s="1294"/>
      <c r="C35" s="1294"/>
      <c r="D35" s="1294"/>
      <c r="E35" s="1294"/>
      <c r="F35" s="1294"/>
      <c r="G35" s="1294"/>
      <c r="H35" s="1294"/>
      <c r="I35" s="1294"/>
      <c r="J35" s="1294"/>
      <c r="K35" s="1294"/>
      <c r="L35" s="1295"/>
      <c r="M35" s="1294"/>
      <c r="N35" s="1294"/>
      <c r="O35" s="1294"/>
      <c r="S35" s="5370" t="s">
        <v>450</v>
      </c>
      <c r="T35" s="5370"/>
      <c r="U35" s="1298"/>
      <c r="V35" s="5372" t="str">
        <f>IF(TITLE_NUMBER_PR_CHANGE="",IF(TITLE_NUMBER_PR="","",TITLE_NUMBER_PR),TITLE_NUMBER_PR_CHANGE)</f>
        <v>94-р</v>
      </c>
      <c r="W35" s="5372"/>
      <c r="X35" s="5372"/>
      <c r="Y35" s="5372"/>
      <c r="Z35" s="5372"/>
      <c r="AA35" s="5372"/>
      <c r="AB35" s="5372"/>
      <c r="AC35" s="263"/>
      <c r="AD35" s="5372" t="str">
        <f>IF(TITLE_NUMBER_PR_CHANGE="",IF(TITLE_NUMBER_PR="","",TITLE_NUMBER_PR),TITLE_NUMBER_PR_CHANGE)</f>
        <v>94-р</v>
      </c>
      <c r="AE35" s="5372"/>
      <c r="AF35" s="5372"/>
      <c r="AG35" s="5372"/>
      <c r="AH35" s="5372"/>
      <c r="AI35" s="5372"/>
      <c r="AJ35" s="5372"/>
      <c r="AK35" s="263"/>
      <c r="AL35" s="5372" t="str">
        <f>IF(TITLE_NUMBER_PR_CHANGE="",IF(TITLE_NUMBER_PR="","",TITLE_NUMBER_PR),TITLE_NUMBER_PR_CHANGE)</f>
        <v>94-р</v>
      </c>
      <c r="AM35" s="5372"/>
      <c r="AN35" s="5372"/>
      <c r="AO35" s="5372"/>
      <c r="AP35" s="5372"/>
      <c r="AQ35" s="5372"/>
      <c r="AR35" s="5372"/>
      <c r="AS35" s="1561"/>
      <c r="AT35" s="5372" t="str">
        <f>IF(TITLE_NUMBER_PR_CHANGE="",IF(TITLE_NUMBER_PR="","",TITLE_NUMBER_PR),TITLE_NUMBER_PR_CHANGE)</f>
        <v>94-р</v>
      </c>
      <c r="AU35" s="5372"/>
      <c r="AV35" s="5372"/>
      <c r="AW35" s="5372"/>
      <c r="AX35" s="5372"/>
      <c r="AY35" s="5372"/>
      <c r="AZ35" s="5372"/>
      <c r="BA35" s="1561"/>
      <c r="BB35" s="5372" t="str">
        <f>IF(TITLE_NUMBER_PR_CHANGE="",IF(TITLE_NUMBER_PR="","",TITLE_NUMBER_PR),TITLE_NUMBER_PR_CHANGE)</f>
        <v>94-р</v>
      </c>
      <c r="BC35" s="5372"/>
      <c r="BD35" s="5372"/>
      <c r="BE35" s="5372"/>
      <c r="BF35" s="5372"/>
      <c r="BG35" s="5372"/>
      <c r="BH35" s="5372"/>
      <c r="BI35" s="1561"/>
      <c r="BJ35" s="5372" t="str">
        <f>IF(TITLE_NUMBER_PR_CHANGE="",IF(TITLE_NUMBER_PR="","",TITLE_NUMBER_PR),TITLE_NUMBER_PR_CHANGE)</f>
        <v>94-р</v>
      </c>
      <c r="BK35" s="5372"/>
      <c r="BL35" s="5372"/>
      <c r="BM35" s="5372"/>
      <c r="BN35" s="5372"/>
      <c r="BO35" s="5372"/>
      <c r="BP35" s="5372"/>
      <c r="BQ35" s="1561"/>
      <c r="BR35" s="5372" t="str">
        <f>IF(TITLE_NUMBER_PR_CHANGE="",IF(TITLE_NUMBER_PR="","",TITLE_NUMBER_PR),TITLE_NUMBER_PR_CHANGE)</f>
        <v>94-р</v>
      </c>
      <c r="BS35" s="5372"/>
      <c r="BT35" s="5372"/>
      <c r="BU35" s="5372"/>
      <c r="BV35" s="5372"/>
      <c r="BW35" s="5372"/>
      <c r="BX35" s="5372"/>
      <c r="BY35" s="1561"/>
      <c r="BZ35" s="5372" t="str">
        <f>IF(TITLE_NUMBER_PR_CHANGE="",IF(TITLE_NUMBER_PR="","",TITLE_NUMBER_PR),TITLE_NUMBER_PR_CHANGE)</f>
        <v>94-р</v>
      </c>
      <c r="CA35" s="5372"/>
      <c r="CB35" s="5372"/>
      <c r="CC35" s="5372"/>
      <c r="CD35" s="5372"/>
      <c r="CE35" s="5372"/>
      <c r="CF35" s="5372"/>
      <c r="CG35" s="1561"/>
      <c r="CH35" s="5372" t="str">
        <f>IF(TITLE_NUMBER_PR_CHANGE="",IF(TITLE_NUMBER_PR="","",TITLE_NUMBER_PR),TITLE_NUMBER_PR_CHANGE)</f>
        <v>94-р</v>
      </c>
      <c r="CI35" s="5372"/>
      <c r="CJ35" s="5372"/>
      <c r="CK35" s="5372"/>
      <c r="CL35" s="5372"/>
      <c r="CM35" s="5372"/>
      <c r="CN35" s="5372"/>
      <c r="CO35" s="1561"/>
      <c r="CP35" s="5372" t="str">
        <f>IF(TITLE_NUMBER_PR_CHANGE="",IF(TITLE_NUMBER_PR="","",TITLE_NUMBER_PR),TITLE_NUMBER_PR_CHANGE)</f>
        <v>94-р</v>
      </c>
      <c r="CQ35" s="5372"/>
      <c r="CR35" s="5372"/>
      <c r="CS35" s="5372"/>
      <c r="CT35" s="5372"/>
      <c r="CU35" s="5372"/>
      <c r="CV35" s="5372"/>
      <c r="CW35" s="1561"/>
      <c r="CX35" s="5372" t="str">
        <f>IF(TITLE_NUMBER_PR_CHANGE="",IF(TITLE_NUMBER_PR="","",TITLE_NUMBER_PR),TITLE_NUMBER_PR_CHANGE)</f>
        <v>94-р</v>
      </c>
      <c r="CY35" s="5372"/>
      <c r="CZ35" s="5372"/>
      <c r="DA35" s="5372"/>
      <c r="DB35" s="5372"/>
      <c r="DC35" s="5372"/>
      <c r="DD35" s="5372"/>
      <c r="DE35" s="5155"/>
      <c r="DF35" s="263"/>
      <c r="DG35" s="217"/>
      <c r="DH35" s="304"/>
      <c r="DI35" s="304"/>
      <c r="DJ35" s="304"/>
      <c r="DK35" s="304"/>
      <c r="DL35" s="304"/>
      <c r="DM35" s="354">
        <v>0</v>
      </c>
    </row>
    <row r="36" spans="1:117"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451</v>
      </c>
      <c r="AD36" s="263"/>
      <c r="AE36" s="263"/>
      <c r="AF36" s="263"/>
      <c r="AG36" s="263"/>
      <c r="AH36" s="263"/>
      <c r="AI36" s="263"/>
      <c r="AJ36" s="263"/>
      <c r="AK36" s="215" t="s">
        <v>451</v>
      </c>
      <c r="AL36" s="1561"/>
      <c r="AM36" s="1561"/>
      <c r="AN36" s="1561"/>
      <c r="AO36" s="1561"/>
      <c r="AP36" s="1561"/>
      <c r="AQ36" s="1561"/>
      <c r="AR36" s="1561"/>
      <c r="AS36" s="1568" t="s">
        <v>451</v>
      </c>
      <c r="AT36" s="1561"/>
      <c r="AU36" s="1561"/>
      <c r="AV36" s="1561"/>
      <c r="AW36" s="1561"/>
      <c r="AX36" s="1561"/>
      <c r="AY36" s="1561"/>
      <c r="AZ36" s="1561"/>
      <c r="BA36" s="1568" t="s">
        <v>451</v>
      </c>
      <c r="BB36" s="1561"/>
      <c r="BC36" s="1561"/>
      <c r="BD36" s="1561"/>
      <c r="BE36" s="1561"/>
      <c r="BF36" s="1561"/>
      <c r="BG36" s="1561"/>
      <c r="BH36" s="1561"/>
      <c r="BI36" s="1568" t="s">
        <v>451</v>
      </c>
      <c r="BJ36" s="1561"/>
      <c r="BK36" s="1561"/>
      <c r="BL36" s="1561"/>
      <c r="BM36" s="1561"/>
      <c r="BN36" s="1561"/>
      <c r="BO36" s="1561"/>
      <c r="BP36" s="1561"/>
      <c r="BQ36" s="1568" t="s">
        <v>451</v>
      </c>
      <c r="BR36" s="1561"/>
      <c r="BS36" s="1561"/>
      <c r="BT36" s="1561"/>
      <c r="BU36" s="1561"/>
      <c r="BV36" s="1561"/>
      <c r="BW36" s="1561"/>
      <c r="BX36" s="1561"/>
      <c r="BY36" s="1568" t="s">
        <v>451</v>
      </c>
      <c r="BZ36" s="1561"/>
      <c r="CA36" s="1561"/>
      <c r="CB36" s="1561"/>
      <c r="CC36" s="1561"/>
      <c r="CD36" s="1561"/>
      <c r="CE36" s="1561"/>
      <c r="CF36" s="1561"/>
      <c r="CG36" s="1568" t="s">
        <v>451</v>
      </c>
      <c r="CH36" s="1561"/>
      <c r="CI36" s="1561"/>
      <c r="CJ36" s="1561"/>
      <c r="CK36" s="1561"/>
      <c r="CL36" s="1561"/>
      <c r="CM36" s="1561"/>
      <c r="CN36" s="1561"/>
      <c r="CO36" s="1568" t="s">
        <v>451</v>
      </c>
      <c r="CP36" s="1561"/>
      <c r="CQ36" s="1561"/>
      <c r="CR36" s="1561"/>
      <c r="CS36" s="1561"/>
      <c r="CT36" s="1561"/>
      <c r="CU36" s="1561"/>
      <c r="CV36" s="1561"/>
      <c r="CW36" s="1568" t="s">
        <v>451</v>
      </c>
      <c r="CX36" s="1561"/>
      <c r="CY36" s="1561"/>
      <c r="CZ36" s="1561"/>
      <c r="DA36" s="1561"/>
      <c r="DB36" s="1561"/>
      <c r="DC36" s="1561"/>
      <c r="DD36" s="1561"/>
      <c r="DE36" s="5166" t="s">
        <v>451</v>
      </c>
      <c r="DH36" s="304"/>
      <c r="DI36" s="304"/>
      <c r="DJ36" s="304"/>
      <c r="DK36" s="304"/>
      <c r="DL36" s="304"/>
      <c r="DM36" s="354">
        <v>0</v>
      </c>
    </row>
    <row r="37" spans="1:117" ht="14.65" customHeight="1">
      <c r="Q37" s="312"/>
      <c r="R37" s="312"/>
      <c r="S37" s="1201"/>
      <c r="T37" s="299"/>
      <c r="U37" s="1170"/>
      <c r="V37" s="5393"/>
      <c r="W37" s="5393"/>
      <c r="X37" s="5393"/>
      <c r="Y37" s="5393"/>
      <c r="Z37" s="5393"/>
      <c r="AA37" s="5393"/>
      <c r="AB37" s="5393"/>
      <c r="AC37" s="5393"/>
      <c r="AD37" s="5393"/>
      <c r="AE37" s="5393"/>
      <c r="AF37" s="5393"/>
      <c r="AG37" s="5393"/>
      <c r="AH37" s="5393"/>
      <c r="AI37" s="5393"/>
      <c r="AJ37" s="5393"/>
      <c r="AK37" s="5393"/>
      <c r="AL37" s="5393" t="s">
        <v>166</v>
      </c>
      <c r="AM37" s="5393"/>
      <c r="AN37" s="5393"/>
      <c r="AO37" s="5393"/>
      <c r="AP37" s="5393"/>
      <c r="AQ37" s="5393"/>
      <c r="AR37" s="5393"/>
      <c r="AS37" s="5393"/>
      <c r="AT37" s="5393" t="s">
        <v>166</v>
      </c>
      <c r="AU37" s="5393"/>
      <c r="AV37" s="5393"/>
      <c r="AW37" s="5393"/>
      <c r="AX37" s="5393"/>
      <c r="AY37" s="5393"/>
      <c r="AZ37" s="5393"/>
      <c r="BA37" s="5393"/>
      <c r="BB37" s="5393" t="s">
        <v>166</v>
      </c>
      <c r="BC37" s="5393"/>
      <c r="BD37" s="5393"/>
      <c r="BE37" s="5393"/>
      <c r="BF37" s="5393"/>
      <c r="BG37" s="5393"/>
      <c r="BH37" s="5393"/>
      <c r="BI37" s="5393"/>
      <c r="BJ37" s="5393" t="s">
        <v>166</v>
      </c>
      <c r="BK37" s="5393"/>
      <c r="BL37" s="5393"/>
      <c r="BM37" s="5393"/>
      <c r="BN37" s="5393"/>
      <c r="BO37" s="5393"/>
      <c r="BP37" s="5393"/>
      <c r="BQ37" s="5393"/>
      <c r="BR37" s="5393" t="s">
        <v>166</v>
      </c>
      <c r="BS37" s="5393"/>
      <c r="BT37" s="5393"/>
      <c r="BU37" s="5393"/>
      <c r="BV37" s="5393"/>
      <c r="BW37" s="5393"/>
      <c r="BX37" s="5393"/>
      <c r="BY37" s="5393"/>
      <c r="BZ37" s="5393" t="s">
        <v>166</v>
      </c>
      <c r="CA37" s="5393"/>
      <c r="CB37" s="5393"/>
      <c r="CC37" s="5393"/>
      <c r="CD37" s="5393"/>
      <c r="CE37" s="5393"/>
      <c r="CF37" s="5393"/>
      <c r="CG37" s="5393"/>
      <c r="CH37" s="5393" t="s">
        <v>166</v>
      </c>
      <c r="CI37" s="5393"/>
      <c r="CJ37" s="5393"/>
      <c r="CK37" s="5393"/>
      <c r="CL37" s="5393"/>
      <c r="CM37" s="5393"/>
      <c r="CN37" s="5393"/>
      <c r="CO37" s="5393"/>
      <c r="CP37" s="5393" t="s">
        <v>166</v>
      </c>
      <c r="CQ37" s="5393"/>
      <c r="CR37" s="5393"/>
      <c r="CS37" s="5393"/>
      <c r="CT37" s="5393"/>
      <c r="CU37" s="5393"/>
      <c r="CV37" s="5393"/>
      <c r="CW37" s="5393"/>
      <c r="CX37" s="5393" t="s">
        <v>166</v>
      </c>
      <c r="CY37" s="5393"/>
      <c r="CZ37" s="5393"/>
      <c r="DA37" s="5393"/>
      <c r="DB37" s="5393"/>
      <c r="DC37" s="5393"/>
      <c r="DD37" s="5393"/>
      <c r="DE37" s="5410"/>
      <c r="DM37" s="1081">
        <v>14</v>
      </c>
    </row>
    <row r="38" spans="1:117" ht="15" customHeight="1">
      <c r="Q38" s="312"/>
      <c r="R38" s="312"/>
      <c r="S38" s="5235" t="s">
        <v>327</v>
      </c>
      <c r="T38" s="5235"/>
      <c r="U38" s="5235"/>
      <c r="V38" s="5235"/>
      <c r="W38" s="5235"/>
      <c r="X38" s="5235"/>
      <c r="Y38" s="5235"/>
      <c r="Z38" s="5235"/>
      <c r="AA38" s="5235"/>
      <c r="AB38" s="5235"/>
      <c r="AC38" s="5235"/>
      <c r="AD38" s="5235"/>
      <c r="AE38" s="5235"/>
      <c r="AF38" s="5235"/>
      <c r="AG38" s="5235"/>
      <c r="AH38" s="5235"/>
      <c r="AI38" s="5235"/>
      <c r="AJ38" s="5235"/>
      <c r="AK38" s="5235"/>
      <c r="AL38" s="5235" t="s">
        <v>327</v>
      </c>
      <c r="AM38" s="5235"/>
      <c r="AN38" s="5235"/>
      <c r="AO38" s="5235"/>
      <c r="AP38" s="5235"/>
      <c r="AQ38" s="5235"/>
      <c r="AR38" s="5235"/>
      <c r="AS38" s="5235"/>
      <c r="AT38" s="5235" t="s">
        <v>327</v>
      </c>
      <c r="AU38" s="5235"/>
      <c r="AV38" s="5235"/>
      <c r="AW38" s="5235"/>
      <c r="AX38" s="5235"/>
      <c r="AY38" s="5235"/>
      <c r="AZ38" s="5235"/>
      <c r="BA38" s="5235"/>
      <c r="BB38" s="5235" t="s">
        <v>327</v>
      </c>
      <c r="BC38" s="5235"/>
      <c r="BD38" s="5235"/>
      <c r="BE38" s="5235"/>
      <c r="BF38" s="5235"/>
      <c r="BG38" s="5235"/>
      <c r="BH38" s="5235"/>
      <c r="BI38" s="5235"/>
      <c r="BJ38" s="5235" t="s">
        <v>327</v>
      </c>
      <c r="BK38" s="5235"/>
      <c r="BL38" s="5235"/>
      <c r="BM38" s="5235"/>
      <c r="BN38" s="5235"/>
      <c r="BO38" s="5235"/>
      <c r="BP38" s="5235"/>
      <c r="BQ38" s="5235"/>
      <c r="BR38" s="5235" t="s">
        <v>327</v>
      </c>
      <c r="BS38" s="5235"/>
      <c r="BT38" s="5235"/>
      <c r="BU38" s="5235"/>
      <c r="BV38" s="5235"/>
      <c r="BW38" s="5235"/>
      <c r="BX38" s="5235"/>
      <c r="BY38" s="5235"/>
      <c r="BZ38" s="5235" t="s">
        <v>327</v>
      </c>
      <c r="CA38" s="5235"/>
      <c r="CB38" s="5235"/>
      <c r="CC38" s="5235"/>
      <c r="CD38" s="5235"/>
      <c r="CE38" s="5235"/>
      <c r="CF38" s="5235"/>
      <c r="CG38" s="5235"/>
      <c r="CH38" s="5235" t="s">
        <v>327</v>
      </c>
      <c r="CI38" s="5235"/>
      <c r="CJ38" s="5235"/>
      <c r="CK38" s="5235"/>
      <c r="CL38" s="5235"/>
      <c r="CM38" s="5235"/>
      <c r="CN38" s="5235"/>
      <c r="CO38" s="5235"/>
      <c r="CP38" s="5235" t="s">
        <v>327</v>
      </c>
      <c r="CQ38" s="5235"/>
      <c r="CR38" s="5235"/>
      <c r="CS38" s="5235"/>
      <c r="CT38" s="5235"/>
      <c r="CU38" s="5235"/>
      <c r="CV38" s="5235"/>
      <c r="CW38" s="5235"/>
      <c r="CX38" s="5235" t="s">
        <v>327</v>
      </c>
      <c r="CY38" s="5235"/>
      <c r="CZ38" s="5235"/>
      <c r="DA38" s="5235"/>
      <c r="DB38" s="5235"/>
      <c r="DC38" s="5235"/>
      <c r="DD38" s="5235"/>
      <c r="DE38" s="5394"/>
      <c r="DF38" s="5235"/>
      <c r="DG38" s="5235"/>
      <c r="DM38" s="1081"/>
    </row>
    <row r="39" spans="1:117" ht="14.65" customHeight="1">
      <c r="Q39" s="312"/>
      <c r="R39" s="312"/>
      <c r="S39" s="5395" t="s">
        <v>90</v>
      </c>
      <c r="T39" s="5339" t="s">
        <v>452</v>
      </c>
      <c r="U39" s="238"/>
      <c r="V39" s="5396" t="s">
        <v>453</v>
      </c>
      <c r="W39" s="5397"/>
      <c r="X39" s="5397"/>
      <c r="Y39" s="5397"/>
      <c r="Z39" s="5397"/>
      <c r="AA39" s="5397"/>
      <c r="AB39" s="5398"/>
      <c r="AC39" s="5399" t="s">
        <v>454</v>
      </c>
      <c r="AD39" s="5396" t="s">
        <v>453</v>
      </c>
      <c r="AE39" s="5397"/>
      <c r="AF39" s="5397"/>
      <c r="AG39" s="5397"/>
      <c r="AH39" s="5397"/>
      <c r="AI39" s="5397"/>
      <c r="AJ39" s="5398"/>
      <c r="AK39" s="5399" t="s">
        <v>455</v>
      </c>
      <c r="AL39" s="5396" t="s">
        <v>453</v>
      </c>
      <c r="AM39" s="5397"/>
      <c r="AN39" s="5397"/>
      <c r="AO39" s="5397"/>
      <c r="AP39" s="5397"/>
      <c r="AQ39" s="5397"/>
      <c r="AR39" s="5398"/>
      <c r="AS39" s="5399" t="s">
        <v>454</v>
      </c>
      <c r="AT39" s="5396" t="s">
        <v>453</v>
      </c>
      <c r="AU39" s="5397"/>
      <c r="AV39" s="5397"/>
      <c r="AW39" s="5397"/>
      <c r="AX39" s="5397"/>
      <c r="AY39" s="5397"/>
      <c r="AZ39" s="5398"/>
      <c r="BA39" s="5399" t="s">
        <v>454</v>
      </c>
      <c r="BB39" s="5396" t="s">
        <v>453</v>
      </c>
      <c r="BC39" s="5397"/>
      <c r="BD39" s="5397"/>
      <c r="BE39" s="5397"/>
      <c r="BF39" s="5397"/>
      <c r="BG39" s="5397"/>
      <c r="BH39" s="5398"/>
      <c r="BI39" s="5399" t="s">
        <v>454</v>
      </c>
      <c r="BJ39" s="5396" t="s">
        <v>453</v>
      </c>
      <c r="BK39" s="5397"/>
      <c r="BL39" s="5397"/>
      <c r="BM39" s="5397"/>
      <c r="BN39" s="5397"/>
      <c r="BO39" s="5397"/>
      <c r="BP39" s="5398"/>
      <c r="BQ39" s="5399" t="s">
        <v>454</v>
      </c>
      <c r="BR39" s="5396" t="s">
        <v>453</v>
      </c>
      <c r="BS39" s="5397"/>
      <c r="BT39" s="5397"/>
      <c r="BU39" s="5397"/>
      <c r="BV39" s="5397"/>
      <c r="BW39" s="5397"/>
      <c r="BX39" s="5398"/>
      <c r="BY39" s="5399" t="s">
        <v>454</v>
      </c>
      <c r="BZ39" s="5396" t="s">
        <v>453</v>
      </c>
      <c r="CA39" s="5397"/>
      <c r="CB39" s="5397"/>
      <c r="CC39" s="5397"/>
      <c r="CD39" s="5397"/>
      <c r="CE39" s="5397"/>
      <c r="CF39" s="5398"/>
      <c r="CG39" s="5399" t="s">
        <v>454</v>
      </c>
      <c r="CH39" s="5396" t="s">
        <v>453</v>
      </c>
      <c r="CI39" s="5397"/>
      <c r="CJ39" s="5397"/>
      <c r="CK39" s="5397"/>
      <c r="CL39" s="5397"/>
      <c r="CM39" s="5397"/>
      <c r="CN39" s="5398"/>
      <c r="CO39" s="5399" t="s">
        <v>454</v>
      </c>
      <c r="CP39" s="5396" t="s">
        <v>453</v>
      </c>
      <c r="CQ39" s="5397"/>
      <c r="CR39" s="5397"/>
      <c r="CS39" s="5397"/>
      <c r="CT39" s="5397"/>
      <c r="CU39" s="5397"/>
      <c r="CV39" s="5398"/>
      <c r="CW39" s="5399" t="s">
        <v>454</v>
      </c>
      <c r="CX39" s="5396" t="s">
        <v>453</v>
      </c>
      <c r="CY39" s="5397"/>
      <c r="CZ39" s="5397"/>
      <c r="DA39" s="5397"/>
      <c r="DB39" s="5397"/>
      <c r="DC39" s="5397"/>
      <c r="DD39" s="5398"/>
      <c r="DE39" s="5411" t="s">
        <v>454</v>
      </c>
      <c r="DF39" s="5402" t="s">
        <v>456</v>
      </c>
      <c r="DG39" s="5235"/>
      <c r="DM39" s="1081">
        <v>14</v>
      </c>
    </row>
    <row r="40" spans="1:117" ht="35.65" customHeight="1">
      <c r="Q40" s="312"/>
      <c r="R40" s="312"/>
      <c r="S40" s="5395"/>
      <c r="T40" s="5339"/>
      <c r="U40" s="960"/>
      <c r="V40" s="5311" t="s">
        <v>457</v>
      </c>
      <c r="W40" s="5390"/>
      <c r="X40" s="5217" t="s">
        <v>459</v>
      </c>
      <c r="Y40" s="5216"/>
      <c r="Z40" s="5217" t="s">
        <v>460</v>
      </c>
      <c r="AA40" s="5222"/>
      <c r="AB40" s="5216"/>
      <c r="AC40" s="5400"/>
      <c r="AD40" s="5311" t="s">
        <v>478</v>
      </c>
      <c r="AE40" s="5390"/>
      <c r="AF40" s="5217" t="s">
        <v>459</v>
      </c>
      <c r="AG40" s="5216"/>
      <c r="AH40" s="5217" t="s">
        <v>460</v>
      </c>
      <c r="AI40" s="5222"/>
      <c r="AJ40" s="5216"/>
      <c r="AK40" s="5400"/>
      <c r="AL40" s="5311" t="s">
        <v>457</v>
      </c>
      <c r="AM40" s="5390"/>
      <c r="AN40" s="5217" t="s">
        <v>459</v>
      </c>
      <c r="AO40" s="5216"/>
      <c r="AP40" s="5217" t="s">
        <v>460</v>
      </c>
      <c r="AQ40" s="5222"/>
      <c r="AR40" s="5216"/>
      <c r="AS40" s="5400"/>
      <c r="AT40" s="5311" t="s">
        <v>457</v>
      </c>
      <c r="AU40" s="5390"/>
      <c r="AV40" s="5217" t="s">
        <v>459</v>
      </c>
      <c r="AW40" s="5216"/>
      <c r="AX40" s="5217" t="s">
        <v>460</v>
      </c>
      <c r="AY40" s="5222"/>
      <c r="AZ40" s="5216"/>
      <c r="BA40" s="5400"/>
      <c r="BB40" s="5311" t="s">
        <v>457</v>
      </c>
      <c r="BC40" s="5390"/>
      <c r="BD40" s="5217" t="s">
        <v>459</v>
      </c>
      <c r="BE40" s="5216"/>
      <c r="BF40" s="5217" t="s">
        <v>460</v>
      </c>
      <c r="BG40" s="5222"/>
      <c r="BH40" s="5216"/>
      <c r="BI40" s="5400"/>
      <c r="BJ40" s="5311" t="s">
        <v>457</v>
      </c>
      <c r="BK40" s="5390"/>
      <c r="BL40" s="5217" t="s">
        <v>459</v>
      </c>
      <c r="BM40" s="5216"/>
      <c r="BN40" s="5217" t="s">
        <v>460</v>
      </c>
      <c r="BO40" s="5222"/>
      <c r="BP40" s="5216"/>
      <c r="BQ40" s="5400"/>
      <c r="BR40" s="5311" t="s">
        <v>457</v>
      </c>
      <c r="BS40" s="5390"/>
      <c r="BT40" s="5217" t="s">
        <v>459</v>
      </c>
      <c r="BU40" s="5216"/>
      <c r="BV40" s="5217" t="s">
        <v>460</v>
      </c>
      <c r="BW40" s="5222"/>
      <c r="BX40" s="5216"/>
      <c r="BY40" s="5400"/>
      <c r="BZ40" s="5311" t="s">
        <v>457</v>
      </c>
      <c r="CA40" s="5390"/>
      <c r="CB40" s="5217" t="s">
        <v>459</v>
      </c>
      <c r="CC40" s="5216"/>
      <c r="CD40" s="5217" t="s">
        <v>460</v>
      </c>
      <c r="CE40" s="5222"/>
      <c r="CF40" s="5216"/>
      <c r="CG40" s="5400"/>
      <c r="CH40" s="5311" t="s">
        <v>457</v>
      </c>
      <c r="CI40" s="5390"/>
      <c r="CJ40" s="5217" t="s">
        <v>459</v>
      </c>
      <c r="CK40" s="5216"/>
      <c r="CL40" s="5217" t="s">
        <v>460</v>
      </c>
      <c r="CM40" s="5222"/>
      <c r="CN40" s="5216"/>
      <c r="CO40" s="5400"/>
      <c r="CP40" s="5311" t="s">
        <v>457</v>
      </c>
      <c r="CQ40" s="5390"/>
      <c r="CR40" s="5217" t="s">
        <v>459</v>
      </c>
      <c r="CS40" s="5216"/>
      <c r="CT40" s="5217" t="s">
        <v>460</v>
      </c>
      <c r="CU40" s="5222"/>
      <c r="CV40" s="5216"/>
      <c r="CW40" s="5400"/>
      <c r="CX40" s="5311" t="s">
        <v>457</v>
      </c>
      <c r="CY40" s="5390"/>
      <c r="CZ40" s="5217" t="s">
        <v>459</v>
      </c>
      <c r="DA40" s="5216"/>
      <c r="DB40" s="5217" t="s">
        <v>460</v>
      </c>
      <c r="DC40" s="5222"/>
      <c r="DD40" s="5216"/>
      <c r="DE40" s="5412"/>
      <c r="DF40" s="5403"/>
      <c r="DG40" s="5235"/>
      <c r="DM40" s="1081">
        <v>34</v>
      </c>
    </row>
    <row r="41" spans="1:117" ht="35.65" customHeight="1">
      <c r="A41" s="1296"/>
      <c r="B41" s="1296" t="s">
        <v>137</v>
      </c>
      <c r="C41" s="1296" t="s">
        <v>138</v>
      </c>
      <c r="D41" s="1296" t="s">
        <v>139</v>
      </c>
      <c r="E41" s="1290" t="s">
        <v>461</v>
      </c>
      <c r="F41" s="1290" t="s">
        <v>462</v>
      </c>
      <c r="G41" s="1290" t="s">
        <v>463</v>
      </c>
      <c r="H41" s="1290" t="s">
        <v>464</v>
      </c>
      <c r="I41" s="1290" t="s">
        <v>465</v>
      </c>
      <c r="J41" s="1290" t="s">
        <v>466</v>
      </c>
      <c r="K41" s="1290" t="s">
        <v>467</v>
      </c>
      <c r="L41" s="1290" t="s">
        <v>442</v>
      </c>
      <c r="Q41" s="312"/>
      <c r="R41" s="312"/>
      <c r="S41" s="5395"/>
      <c r="T41" s="5339"/>
      <c r="U41" s="239"/>
      <c r="V41" s="5364"/>
      <c r="W41" s="5391"/>
      <c r="X41" s="1148" t="s">
        <v>468</v>
      </c>
      <c r="Y41" s="1148" t="s">
        <v>469</v>
      </c>
      <c r="Z41" s="1264" t="s">
        <v>470</v>
      </c>
      <c r="AA41" s="5344" t="s">
        <v>471</v>
      </c>
      <c r="AB41" s="5358"/>
      <c r="AC41" s="5401"/>
      <c r="AD41" s="5364"/>
      <c r="AE41" s="5391"/>
      <c r="AF41" s="1148" t="s">
        <v>468</v>
      </c>
      <c r="AG41" s="1148" t="s">
        <v>469</v>
      </c>
      <c r="AH41" s="1264" t="s">
        <v>470</v>
      </c>
      <c r="AI41" s="5344" t="s">
        <v>471</v>
      </c>
      <c r="AJ41" s="5358"/>
      <c r="AK41" s="5401"/>
      <c r="AL41" s="5364"/>
      <c r="AM41" s="5391"/>
      <c r="AN41" s="2022" t="s">
        <v>468</v>
      </c>
      <c r="AO41" s="2022" t="s">
        <v>469</v>
      </c>
      <c r="AP41" s="2022" t="s">
        <v>470</v>
      </c>
      <c r="AQ41" s="5344" t="s">
        <v>471</v>
      </c>
      <c r="AR41" s="5358"/>
      <c r="AS41" s="5401"/>
      <c r="AT41" s="5364"/>
      <c r="AU41" s="5391"/>
      <c r="AV41" s="2022" t="s">
        <v>468</v>
      </c>
      <c r="AW41" s="2022" t="s">
        <v>469</v>
      </c>
      <c r="AX41" s="2022" t="s">
        <v>470</v>
      </c>
      <c r="AY41" s="5344" t="s">
        <v>471</v>
      </c>
      <c r="AZ41" s="5358"/>
      <c r="BA41" s="5401"/>
      <c r="BB41" s="5364"/>
      <c r="BC41" s="5391"/>
      <c r="BD41" s="2022" t="s">
        <v>468</v>
      </c>
      <c r="BE41" s="2022" t="s">
        <v>469</v>
      </c>
      <c r="BF41" s="2022" t="s">
        <v>470</v>
      </c>
      <c r="BG41" s="5344" t="s">
        <v>471</v>
      </c>
      <c r="BH41" s="5358"/>
      <c r="BI41" s="5401"/>
      <c r="BJ41" s="5364"/>
      <c r="BK41" s="5391"/>
      <c r="BL41" s="2022" t="s">
        <v>468</v>
      </c>
      <c r="BM41" s="2022" t="s">
        <v>469</v>
      </c>
      <c r="BN41" s="2022" t="s">
        <v>470</v>
      </c>
      <c r="BO41" s="5344" t="s">
        <v>471</v>
      </c>
      <c r="BP41" s="5358"/>
      <c r="BQ41" s="5401"/>
      <c r="BR41" s="5364"/>
      <c r="BS41" s="5391"/>
      <c r="BT41" s="2022" t="s">
        <v>468</v>
      </c>
      <c r="BU41" s="2022" t="s">
        <v>469</v>
      </c>
      <c r="BV41" s="2022" t="s">
        <v>470</v>
      </c>
      <c r="BW41" s="5344" t="s">
        <v>471</v>
      </c>
      <c r="BX41" s="5358"/>
      <c r="BY41" s="5401"/>
      <c r="BZ41" s="5364"/>
      <c r="CA41" s="5391"/>
      <c r="CB41" s="2022" t="s">
        <v>468</v>
      </c>
      <c r="CC41" s="2022" t="s">
        <v>469</v>
      </c>
      <c r="CD41" s="2022" t="s">
        <v>470</v>
      </c>
      <c r="CE41" s="5344" t="s">
        <v>471</v>
      </c>
      <c r="CF41" s="5358"/>
      <c r="CG41" s="5401"/>
      <c r="CH41" s="5364"/>
      <c r="CI41" s="5391"/>
      <c r="CJ41" s="2022" t="s">
        <v>468</v>
      </c>
      <c r="CK41" s="2022" t="s">
        <v>469</v>
      </c>
      <c r="CL41" s="2022" t="s">
        <v>470</v>
      </c>
      <c r="CM41" s="5344" t="s">
        <v>471</v>
      </c>
      <c r="CN41" s="5358"/>
      <c r="CO41" s="5401"/>
      <c r="CP41" s="5364"/>
      <c r="CQ41" s="5391"/>
      <c r="CR41" s="2022" t="s">
        <v>468</v>
      </c>
      <c r="CS41" s="2022" t="s">
        <v>469</v>
      </c>
      <c r="CT41" s="2022" t="s">
        <v>470</v>
      </c>
      <c r="CU41" s="5344" t="s">
        <v>471</v>
      </c>
      <c r="CV41" s="5358"/>
      <c r="CW41" s="5401"/>
      <c r="CX41" s="5364"/>
      <c r="CY41" s="5391"/>
      <c r="CZ41" s="2022" t="s">
        <v>468</v>
      </c>
      <c r="DA41" s="2022" t="s">
        <v>469</v>
      </c>
      <c r="DB41" s="2022" t="s">
        <v>470</v>
      </c>
      <c r="DC41" s="5344" t="s">
        <v>471</v>
      </c>
      <c r="DD41" s="5358"/>
      <c r="DE41" s="5413"/>
      <c r="DF41" s="5404"/>
      <c r="DG41" s="5235"/>
      <c r="DM41" s="1081">
        <v>34</v>
      </c>
    </row>
    <row r="42" spans="1:117"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5392">
        <f ca="1">OFFSET(AA42,0,-1)+1</f>
        <v>4</v>
      </c>
      <c r="AB42" s="5392"/>
      <c r="AC42" s="1261">
        <f ca="1">OFFSET(AC42,0,-2)+1</f>
        <v>5</v>
      </c>
      <c r="AD42" s="1261">
        <f ca="1">OFFSET(AD42,0,-1)+1</f>
        <v>6</v>
      </c>
      <c r="AE42" s="1261"/>
      <c r="AF42" s="1261">
        <f ca="1">OFFSET(AF42,0,-1)+1</f>
        <v>1</v>
      </c>
      <c r="AG42" s="1261">
        <f ca="1">OFFSET(AG42,0,-1)+1</f>
        <v>2</v>
      </c>
      <c r="AH42" s="1261">
        <f ca="1">OFFSET(AH42,0,-1)+1</f>
        <v>3</v>
      </c>
      <c r="AI42" s="5392">
        <f ca="1">OFFSET(AI42,0,-1)+1</f>
        <v>4</v>
      </c>
      <c r="AJ42" s="5392"/>
      <c r="AK42" s="1261">
        <f ca="1">OFFSET(AK42,0,-2)+1</f>
        <v>5</v>
      </c>
      <c r="AL42" s="2011">
        <f ca="1">OFFSET(AL42,0,-1)+1</f>
        <v>6</v>
      </c>
      <c r="AM42" s="2011"/>
      <c r="AN42" s="2011">
        <f ca="1">OFFSET(AN42,0,-1)+1</f>
        <v>1</v>
      </c>
      <c r="AO42" s="2011">
        <f ca="1">OFFSET(AO42,0,-1)+1</f>
        <v>2</v>
      </c>
      <c r="AP42" s="2011">
        <f ca="1">OFFSET(AP42,0,-1)+1</f>
        <v>3</v>
      </c>
      <c r="AQ42" s="5392">
        <f ca="1">OFFSET(AQ42,0,-1)+1</f>
        <v>4</v>
      </c>
      <c r="AR42" s="5392"/>
      <c r="AS42" s="2011">
        <f ca="1">OFFSET(AS42,0,-2)+1</f>
        <v>5</v>
      </c>
      <c r="AT42" s="2011">
        <f ca="1">OFFSET(AT42,0,-1)+1</f>
        <v>6</v>
      </c>
      <c r="AU42" s="2011"/>
      <c r="AV42" s="2011">
        <f ca="1">OFFSET(AV42,0,-1)+1</f>
        <v>1</v>
      </c>
      <c r="AW42" s="2011">
        <f ca="1">OFFSET(AW42,0,-1)+1</f>
        <v>2</v>
      </c>
      <c r="AX42" s="2011">
        <f ca="1">OFFSET(AX42,0,-1)+1</f>
        <v>3</v>
      </c>
      <c r="AY42" s="5392">
        <f ca="1">OFFSET(AY42,0,-1)+1</f>
        <v>4</v>
      </c>
      <c r="AZ42" s="5392"/>
      <c r="BA42" s="2011">
        <f ca="1">OFFSET(BA42,0,-2)+1</f>
        <v>5</v>
      </c>
      <c r="BB42" s="2011">
        <f ca="1">OFFSET(BB42,0,-1)+1</f>
        <v>6</v>
      </c>
      <c r="BC42" s="2011"/>
      <c r="BD42" s="2011">
        <f ca="1">OFFSET(BD42,0,-1)+1</f>
        <v>1</v>
      </c>
      <c r="BE42" s="2011">
        <f ca="1">OFFSET(BE42,0,-1)+1</f>
        <v>2</v>
      </c>
      <c r="BF42" s="2011">
        <f ca="1">OFFSET(BF42,0,-1)+1</f>
        <v>3</v>
      </c>
      <c r="BG42" s="5392">
        <f ca="1">OFFSET(BG42,0,-1)+1</f>
        <v>4</v>
      </c>
      <c r="BH42" s="5392"/>
      <c r="BI42" s="2011">
        <f ca="1">OFFSET(BI42,0,-2)+1</f>
        <v>5</v>
      </c>
      <c r="BJ42" s="2011">
        <f ca="1">OFFSET(BJ42,0,-1)+1</f>
        <v>6</v>
      </c>
      <c r="BK42" s="2011"/>
      <c r="BL42" s="2011">
        <f ca="1">OFFSET(BL42,0,-1)+1</f>
        <v>1</v>
      </c>
      <c r="BM42" s="2011">
        <f ca="1">OFFSET(BM42,0,-1)+1</f>
        <v>2</v>
      </c>
      <c r="BN42" s="2011">
        <f ca="1">OFFSET(BN42,0,-1)+1</f>
        <v>3</v>
      </c>
      <c r="BO42" s="5392">
        <f ca="1">OFFSET(BO42,0,-1)+1</f>
        <v>4</v>
      </c>
      <c r="BP42" s="5392"/>
      <c r="BQ42" s="2011">
        <f ca="1">OFFSET(BQ42,0,-2)+1</f>
        <v>5</v>
      </c>
      <c r="BR42" s="2011">
        <f ca="1">OFFSET(BR42,0,-1)+1</f>
        <v>6</v>
      </c>
      <c r="BS42" s="2011"/>
      <c r="BT42" s="2011">
        <f ca="1">OFFSET(BT42,0,-1)+1</f>
        <v>1</v>
      </c>
      <c r="BU42" s="2011">
        <f ca="1">OFFSET(BU42,0,-1)+1</f>
        <v>2</v>
      </c>
      <c r="BV42" s="2011">
        <f ca="1">OFFSET(BV42,0,-1)+1</f>
        <v>3</v>
      </c>
      <c r="BW42" s="5392">
        <f ca="1">OFFSET(BW42,0,-1)+1</f>
        <v>4</v>
      </c>
      <c r="BX42" s="5392"/>
      <c r="BY42" s="2011">
        <f ca="1">OFFSET(BY42,0,-2)+1</f>
        <v>5</v>
      </c>
      <c r="BZ42" s="2011">
        <f ca="1">OFFSET(BZ42,0,-1)+1</f>
        <v>6</v>
      </c>
      <c r="CA42" s="2011"/>
      <c r="CB42" s="2011">
        <f ca="1">OFFSET(CB42,0,-1)+1</f>
        <v>1</v>
      </c>
      <c r="CC42" s="2011">
        <f ca="1">OFFSET(CC42,0,-1)+1</f>
        <v>2</v>
      </c>
      <c r="CD42" s="2011">
        <f ca="1">OFFSET(CD42,0,-1)+1</f>
        <v>3</v>
      </c>
      <c r="CE42" s="5392">
        <f ca="1">OFFSET(CE42,0,-1)+1</f>
        <v>4</v>
      </c>
      <c r="CF42" s="5392"/>
      <c r="CG42" s="2011">
        <f ca="1">OFFSET(CG42,0,-2)+1</f>
        <v>5</v>
      </c>
      <c r="CH42" s="2011">
        <f ca="1">OFFSET(CH42,0,-1)+1</f>
        <v>6</v>
      </c>
      <c r="CI42" s="2011"/>
      <c r="CJ42" s="2011">
        <f ca="1">OFFSET(CJ42,0,-1)+1</f>
        <v>1</v>
      </c>
      <c r="CK42" s="2011">
        <f ca="1">OFFSET(CK42,0,-1)+1</f>
        <v>2</v>
      </c>
      <c r="CL42" s="2011">
        <f ca="1">OFFSET(CL42,0,-1)+1</f>
        <v>3</v>
      </c>
      <c r="CM42" s="5392">
        <f ca="1">OFFSET(CM42,0,-1)+1</f>
        <v>4</v>
      </c>
      <c r="CN42" s="5392"/>
      <c r="CO42" s="2011">
        <f ca="1">OFFSET(CO42,0,-2)+1</f>
        <v>5</v>
      </c>
      <c r="CP42" s="2011">
        <f ca="1">OFFSET(CP42,0,-1)+1</f>
        <v>6</v>
      </c>
      <c r="CQ42" s="2011"/>
      <c r="CR42" s="2011">
        <f ca="1">OFFSET(CR42,0,-1)+1</f>
        <v>1</v>
      </c>
      <c r="CS42" s="2011">
        <f ca="1">OFFSET(CS42,0,-1)+1</f>
        <v>2</v>
      </c>
      <c r="CT42" s="2011">
        <f ca="1">OFFSET(CT42,0,-1)+1</f>
        <v>3</v>
      </c>
      <c r="CU42" s="5392">
        <f ca="1">OFFSET(CU42,0,-1)+1</f>
        <v>4</v>
      </c>
      <c r="CV42" s="5392"/>
      <c r="CW42" s="2011">
        <f ca="1">OFFSET(CW42,0,-2)+1</f>
        <v>5</v>
      </c>
      <c r="CX42" s="2011">
        <f ca="1">OFFSET(CX42,0,-1)+1</f>
        <v>6</v>
      </c>
      <c r="CY42" s="2011"/>
      <c r="CZ42" s="2011">
        <f ca="1">OFFSET(CZ42,0,-1)+1</f>
        <v>1</v>
      </c>
      <c r="DA42" s="2011">
        <f ca="1">OFFSET(DA42,0,-1)+1</f>
        <v>2</v>
      </c>
      <c r="DB42" s="2011">
        <f ca="1">OFFSET(DB42,0,-1)+1</f>
        <v>3</v>
      </c>
      <c r="DC42" s="5392">
        <f ca="1">OFFSET(DC42,0,-1)+1</f>
        <v>4</v>
      </c>
      <c r="DD42" s="5392"/>
      <c r="DE42" s="5167">
        <f ca="1">OFFSET(DE42,0,-2)+1</f>
        <v>5</v>
      </c>
      <c r="DF42" s="1171">
        <f ca="1">OFFSET(DF42,0,-1)</f>
        <v>5</v>
      </c>
      <c r="DG42" s="1261">
        <f ca="1">OFFSET(DG42,0,-1)+1</f>
        <v>6</v>
      </c>
      <c r="DH42" s="447"/>
      <c r="DI42" s="447"/>
      <c r="DJ42" s="447"/>
      <c r="DK42" s="447"/>
      <c r="DL42" s="447"/>
      <c r="DM42" s="432">
        <v>0</v>
      </c>
    </row>
    <row r="43" spans="1:117" ht="21.95" customHeight="1">
      <c r="A43" s="1289" t="s">
        <v>193</v>
      </c>
      <c r="B43" s="1289"/>
      <c r="C43" s="1289"/>
      <c r="D43" s="1289"/>
      <c r="E43" s="5381">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125</v>
      </c>
      <c r="U43" s="237"/>
      <c r="V43" s="5373"/>
      <c r="W43" s="5374"/>
      <c r="X43" s="5374"/>
      <c r="Y43" s="5374"/>
      <c r="Z43" s="5374"/>
      <c r="AA43" s="5374"/>
      <c r="AB43" s="5374"/>
      <c r="AC43" s="5375"/>
      <c r="AD43" s="5373" t="str">
        <f>INDEX(PT_DIFFERENTIATION_NTAR,MATCH(A43,PT_DIFFERENTIATION_NTAR_ID,0))</f>
        <v>Тариф на теплоноситель, поставляемый ПАО "ТГК-1" потребителям, расположенным на территории Санкт-Петербурга</v>
      </c>
      <c r="AE43" s="5374"/>
      <c r="AF43" s="5374"/>
      <c r="AG43" s="5374"/>
      <c r="AH43" s="5374"/>
      <c r="AI43" s="5374"/>
      <c r="AJ43" s="5374"/>
      <c r="AK43" s="5374"/>
      <c r="AL43" s="5373"/>
      <c r="AM43" s="5374"/>
      <c r="AN43" s="5374"/>
      <c r="AO43" s="5374"/>
      <c r="AP43" s="5374"/>
      <c r="AQ43" s="5374"/>
      <c r="AR43" s="5374"/>
      <c r="AS43" s="5375"/>
      <c r="AT43" s="5373"/>
      <c r="AU43" s="5374"/>
      <c r="AV43" s="5374"/>
      <c r="AW43" s="5374"/>
      <c r="AX43" s="5374"/>
      <c r="AY43" s="5374"/>
      <c r="AZ43" s="5374"/>
      <c r="BA43" s="5375"/>
      <c r="BB43" s="5373"/>
      <c r="BC43" s="5374"/>
      <c r="BD43" s="5374"/>
      <c r="BE43" s="5374"/>
      <c r="BF43" s="5374"/>
      <c r="BG43" s="5374"/>
      <c r="BH43" s="5374"/>
      <c r="BI43" s="5375"/>
      <c r="BJ43" s="5373"/>
      <c r="BK43" s="5374"/>
      <c r="BL43" s="5374"/>
      <c r="BM43" s="5374"/>
      <c r="BN43" s="5374"/>
      <c r="BO43" s="5374"/>
      <c r="BP43" s="5374"/>
      <c r="BQ43" s="5375"/>
      <c r="BR43" s="5373"/>
      <c r="BS43" s="5374"/>
      <c r="BT43" s="5374"/>
      <c r="BU43" s="5374"/>
      <c r="BV43" s="5374"/>
      <c r="BW43" s="5374"/>
      <c r="BX43" s="5374"/>
      <c r="BY43" s="5375"/>
      <c r="BZ43" s="5373"/>
      <c r="CA43" s="5374"/>
      <c r="CB43" s="5374"/>
      <c r="CC43" s="5374"/>
      <c r="CD43" s="5374"/>
      <c r="CE43" s="5374"/>
      <c r="CF43" s="5374"/>
      <c r="CG43" s="5375"/>
      <c r="CH43" s="5373"/>
      <c r="CI43" s="5374"/>
      <c r="CJ43" s="5374"/>
      <c r="CK43" s="5374"/>
      <c r="CL43" s="5374"/>
      <c r="CM43" s="5374"/>
      <c r="CN43" s="5374"/>
      <c r="CO43" s="5375"/>
      <c r="CP43" s="5373"/>
      <c r="CQ43" s="5374"/>
      <c r="CR43" s="5374"/>
      <c r="CS43" s="5374"/>
      <c r="CT43" s="5374"/>
      <c r="CU43" s="5374"/>
      <c r="CV43" s="5374"/>
      <c r="CW43" s="5375"/>
      <c r="CX43" s="5373"/>
      <c r="CY43" s="5374"/>
      <c r="CZ43" s="5374"/>
      <c r="DA43" s="5374"/>
      <c r="DB43" s="5374"/>
      <c r="DC43" s="5374"/>
      <c r="DD43" s="5374"/>
      <c r="DE43" s="5376"/>
      <c r="DF43" s="5375"/>
      <c r="DG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36"/>
      <c r="DJ43" s="436" t="str">
        <f t="shared" ref="DJ43:DJ57" si="1">IF(T43="","",T43)</f>
        <v>Наименование тарифа</v>
      </c>
      <c r="DK43" s="436"/>
      <c r="DL43" s="436"/>
      <c r="DM43" s="1081">
        <v>21</v>
      </c>
    </row>
    <row r="44" spans="1:117" ht="21.95" customHeight="1">
      <c r="A44" s="1289" t="s">
        <v>193</v>
      </c>
      <c r="B44" s="1289" t="s">
        <v>194</v>
      </c>
      <c r="C44" s="1289"/>
      <c r="D44" s="1289"/>
      <c r="E44" s="5382"/>
      <c r="F44" s="5381">
        <v>1</v>
      </c>
      <c r="G44" s="1289"/>
      <c r="H44" s="1289"/>
      <c r="I44" s="1289"/>
      <c r="J44" s="1289"/>
      <c r="K44" s="1289"/>
      <c r="L44" s="1290"/>
      <c r="M44" s="1291"/>
      <c r="N44" s="1291"/>
      <c r="O44" s="1291"/>
      <c r="P44" s="1258"/>
      <c r="Q44" s="288"/>
      <c r="R44" s="289"/>
      <c r="S44" s="1262" t="str">
        <f>INDEX(PT_DIFFERENTIATION_NUM_TER,MATCH(B44,PT_DIFFERENTIATION_TER_ID,0))</f>
        <v>1.1</v>
      </c>
      <c r="T44" s="245" t="s">
        <v>424</v>
      </c>
      <c r="U44" s="237"/>
      <c r="V44" s="5373"/>
      <c r="W44" s="5374"/>
      <c r="X44" s="5374"/>
      <c r="Y44" s="5374"/>
      <c r="Z44" s="5374"/>
      <c r="AA44" s="5374"/>
      <c r="AB44" s="5374"/>
      <c r="AC44" s="5375"/>
      <c r="AD44" s="5373" t="str">
        <f>INDEX(PT_DIFFERENTIATION_TER,MATCH(B44,PT_DIFFERENTIATION_TER_ID,0))</f>
        <v>без дифференциации</v>
      </c>
      <c r="AE44" s="5374"/>
      <c r="AF44" s="5374"/>
      <c r="AG44" s="5374"/>
      <c r="AH44" s="5374"/>
      <c r="AI44" s="5374"/>
      <c r="AJ44" s="5374"/>
      <c r="AK44" s="5374"/>
      <c r="AL44" s="5373"/>
      <c r="AM44" s="5374"/>
      <c r="AN44" s="5374"/>
      <c r="AO44" s="5374"/>
      <c r="AP44" s="5374"/>
      <c r="AQ44" s="5374"/>
      <c r="AR44" s="5374"/>
      <c r="AS44" s="5375"/>
      <c r="AT44" s="5373"/>
      <c r="AU44" s="5374"/>
      <c r="AV44" s="5374"/>
      <c r="AW44" s="5374"/>
      <c r="AX44" s="5374"/>
      <c r="AY44" s="5374"/>
      <c r="AZ44" s="5374"/>
      <c r="BA44" s="5375"/>
      <c r="BB44" s="5373"/>
      <c r="BC44" s="5374"/>
      <c r="BD44" s="5374"/>
      <c r="BE44" s="5374"/>
      <c r="BF44" s="5374"/>
      <c r="BG44" s="5374"/>
      <c r="BH44" s="5374"/>
      <c r="BI44" s="5375"/>
      <c r="BJ44" s="5373"/>
      <c r="BK44" s="5374"/>
      <c r="BL44" s="5374"/>
      <c r="BM44" s="5374"/>
      <c r="BN44" s="5374"/>
      <c r="BO44" s="5374"/>
      <c r="BP44" s="5374"/>
      <c r="BQ44" s="5375"/>
      <c r="BR44" s="5373"/>
      <c r="BS44" s="5374"/>
      <c r="BT44" s="5374"/>
      <c r="BU44" s="5374"/>
      <c r="BV44" s="5374"/>
      <c r="BW44" s="5374"/>
      <c r="BX44" s="5374"/>
      <c r="BY44" s="5375"/>
      <c r="BZ44" s="5373"/>
      <c r="CA44" s="5374"/>
      <c r="CB44" s="5374"/>
      <c r="CC44" s="5374"/>
      <c r="CD44" s="5374"/>
      <c r="CE44" s="5374"/>
      <c r="CF44" s="5374"/>
      <c r="CG44" s="5375"/>
      <c r="CH44" s="5373"/>
      <c r="CI44" s="5374"/>
      <c r="CJ44" s="5374"/>
      <c r="CK44" s="5374"/>
      <c r="CL44" s="5374"/>
      <c r="CM44" s="5374"/>
      <c r="CN44" s="5374"/>
      <c r="CO44" s="5375"/>
      <c r="CP44" s="5373"/>
      <c r="CQ44" s="5374"/>
      <c r="CR44" s="5374"/>
      <c r="CS44" s="5374"/>
      <c r="CT44" s="5374"/>
      <c r="CU44" s="5374"/>
      <c r="CV44" s="5374"/>
      <c r="CW44" s="5375"/>
      <c r="CX44" s="5373"/>
      <c r="CY44" s="5374"/>
      <c r="CZ44" s="5374"/>
      <c r="DA44" s="5374"/>
      <c r="DB44" s="5374"/>
      <c r="DC44" s="5374"/>
      <c r="DD44" s="5374"/>
      <c r="DE44" s="5376"/>
      <c r="DF44" s="5375"/>
      <c r="DG44" s="1184" t="s">
        <v>425</v>
      </c>
      <c r="DI44" s="436"/>
      <c r="DJ44" s="436" t="str">
        <f t="shared" si="1"/>
        <v>Территория действия тарифа</v>
      </c>
      <c r="DK44" s="436"/>
      <c r="DL44" s="436"/>
      <c r="DM44" s="1081">
        <v>21</v>
      </c>
    </row>
    <row r="45" spans="1:117" ht="24" customHeight="1">
      <c r="A45" s="1289" t="s">
        <v>193</v>
      </c>
      <c r="B45" s="1289" t="s">
        <v>194</v>
      </c>
      <c r="C45" s="1289" t="s">
        <v>195</v>
      </c>
      <c r="D45" s="1289"/>
      <c r="E45" s="5382"/>
      <c r="F45" s="5382"/>
      <c r="G45" s="5381">
        <v>1</v>
      </c>
      <c r="H45" s="1289"/>
      <c r="I45" s="1289"/>
      <c r="J45" s="1289"/>
      <c r="K45" s="1289"/>
      <c r="L45" s="1290"/>
      <c r="M45" s="1291"/>
      <c r="N45" s="1291"/>
      <c r="O45" s="1291"/>
      <c r="P45" s="290"/>
      <c r="Q45" s="288"/>
      <c r="R45" s="289"/>
      <c r="S45" s="1262" t="str">
        <f>INDEX(PT_DIFFERENTIATION_NUM_CS,MATCH(C45,PT_DIFFERENTIATION_CS_ID,0))</f>
        <v>1.1.1</v>
      </c>
      <c r="T45" s="246" t="s">
        <v>426</v>
      </c>
      <c r="U45" s="237"/>
      <c r="V45" s="5373"/>
      <c r="W45" s="5374"/>
      <c r="X45" s="5374"/>
      <c r="Y45" s="5374"/>
      <c r="Z45" s="5374"/>
      <c r="AA45" s="5374"/>
      <c r="AB45" s="5374"/>
      <c r="AC45" s="5375"/>
      <c r="AD45" s="5373" t="str">
        <f>INDEX(PT_DIFFERENTIATION_CS,MATCH(C45,PT_DIFFERENTIATION_CS_ID,0))</f>
        <v>без дифференциации</v>
      </c>
      <c r="AE45" s="5374"/>
      <c r="AF45" s="5374"/>
      <c r="AG45" s="5374"/>
      <c r="AH45" s="5374"/>
      <c r="AI45" s="5374"/>
      <c r="AJ45" s="5374"/>
      <c r="AK45" s="5374"/>
      <c r="AL45" s="5373"/>
      <c r="AM45" s="5374"/>
      <c r="AN45" s="5374"/>
      <c r="AO45" s="5374"/>
      <c r="AP45" s="5374"/>
      <c r="AQ45" s="5374"/>
      <c r="AR45" s="5374"/>
      <c r="AS45" s="5375"/>
      <c r="AT45" s="5373"/>
      <c r="AU45" s="5374"/>
      <c r="AV45" s="5374"/>
      <c r="AW45" s="5374"/>
      <c r="AX45" s="5374"/>
      <c r="AY45" s="5374"/>
      <c r="AZ45" s="5374"/>
      <c r="BA45" s="5375"/>
      <c r="BB45" s="5373"/>
      <c r="BC45" s="5374"/>
      <c r="BD45" s="5374"/>
      <c r="BE45" s="5374"/>
      <c r="BF45" s="5374"/>
      <c r="BG45" s="5374"/>
      <c r="BH45" s="5374"/>
      <c r="BI45" s="5375"/>
      <c r="BJ45" s="5373"/>
      <c r="BK45" s="5374"/>
      <c r="BL45" s="5374"/>
      <c r="BM45" s="5374"/>
      <c r="BN45" s="5374"/>
      <c r="BO45" s="5374"/>
      <c r="BP45" s="5374"/>
      <c r="BQ45" s="5375"/>
      <c r="BR45" s="5373"/>
      <c r="BS45" s="5374"/>
      <c r="BT45" s="5374"/>
      <c r="BU45" s="5374"/>
      <c r="BV45" s="5374"/>
      <c r="BW45" s="5374"/>
      <c r="BX45" s="5374"/>
      <c r="BY45" s="5375"/>
      <c r="BZ45" s="5373"/>
      <c r="CA45" s="5374"/>
      <c r="CB45" s="5374"/>
      <c r="CC45" s="5374"/>
      <c r="CD45" s="5374"/>
      <c r="CE45" s="5374"/>
      <c r="CF45" s="5374"/>
      <c r="CG45" s="5375"/>
      <c r="CH45" s="5373"/>
      <c r="CI45" s="5374"/>
      <c r="CJ45" s="5374"/>
      <c r="CK45" s="5374"/>
      <c r="CL45" s="5374"/>
      <c r="CM45" s="5374"/>
      <c r="CN45" s="5374"/>
      <c r="CO45" s="5375"/>
      <c r="CP45" s="5373"/>
      <c r="CQ45" s="5374"/>
      <c r="CR45" s="5374"/>
      <c r="CS45" s="5374"/>
      <c r="CT45" s="5374"/>
      <c r="CU45" s="5374"/>
      <c r="CV45" s="5374"/>
      <c r="CW45" s="5375"/>
      <c r="CX45" s="5373"/>
      <c r="CY45" s="5374"/>
      <c r="CZ45" s="5374"/>
      <c r="DA45" s="5374"/>
      <c r="DB45" s="5374"/>
      <c r="DC45" s="5374"/>
      <c r="DD45" s="5374"/>
      <c r="DE45" s="5376"/>
      <c r="DF45" s="5375"/>
      <c r="DG45" s="1184" t="s">
        <v>427</v>
      </c>
      <c r="DI45" s="436"/>
      <c r="DJ45" s="436" t="str">
        <f t="shared" si="1"/>
        <v xml:space="preserve">Наименование системы теплоснабжения </v>
      </c>
      <c r="DK45" s="436"/>
      <c r="DL45" s="436"/>
      <c r="DM45" s="1081">
        <v>23</v>
      </c>
    </row>
    <row r="46" spans="1:117" ht="21.95" customHeight="1">
      <c r="A46" s="1289" t="s">
        <v>193</v>
      </c>
      <c r="B46" s="1289" t="s">
        <v>194</v>
      </c>
      <c r="C46" s="1289" t="s">
        <v>195</v>
      </c>
      <c r="D46" s="1289" t="s">
        <v>196</v>
      </c>
      <c r="E46" s="5382"/>
      <c r="F46" s="5382"/>
      <c r="G46" s="5382"/>
      <c r="H46" s="5381">
        <v>1</v>
      </c>
      <c r="I46" s="1289"/>
      <c r="J46" s="1289"/>
      <c r="K46" s="1289"/>
      <c r="L46" s="1290"/>
      <c r="M46" s="1291"/>
      <c r="N46" s="1291"/>
      <c r="O46" s="1291"/>
      <c r="P46" s="290"/>
      <c r="Q46" s="288"/>
      <c r="R46" s="289"/>
      <c r="S46" s="1262" t="str">
        <f>INDEX(PT_DIFFERENTIATION_NUM_IST_TE,MATCH(D46,PT_DIFFERENTIATION_IST_TE_ID,0))</f>
        <v>1.1.1.1</v>
      </c>
      <c r="T46" s="247" t="s">
        <v>428</v>
      </c>
      <c r="U46" s="237"/>
      <c r="V46" s="5373"/>
      <c r="W46" s="5374"/>
      <c r="X46" s="5374"/>
      <c r="Y46" s="5374"/>
      <c r="Z46" s="5374"/>
      <c r="AA46" s="5374"/>
      <c r="AB46" s="5374"/>
      <c r="AC46" s="5375"/>
      <c r="AD46" s="5373" t="str">
        <f>INDEX(PT_DIFFERENTIATION_IST_TE,MATCH(D46,PT_DIFFERENTIATION_IST_TE_ID,0))</f>
        <v>без дифференциации</v>
      </c>
      <c r="AE46" s="5374"/>
      <c r="AF46" s="5374"/>
      <c r="AG46" s="5374"/>
      <c r="AH46" s="5374"/>
      <c r="AI46" s="5374"/>
      <c r="AJ46" s="5374"/>
      <c r="AK46" s="5374"/>
      <c r="AL46" s="5373"/>
      <c r="AM46" s="5374"/>
      <c r="AN46" s="5374"/>
      <c r="AO46" s="5374"/>
      <c r="AP46" s="5374"/>
      <c r="AQ46" s="5374"/>
      <c r="AR46" s="5374"/>
      <c r="AS46" s="5375"/>
      <c r="AT46" s="5373"/>
      <c r="AU46" s="5374"/>
      <c r="AV46" s="5374"/>
      <c r="AW46" s="5374"/>
      <c r="AX46" s="5374"/>
      <c r="AY46" s="5374"/>
      <c r="AZ46" s="5374"/>
      <c r="BA46" s="5375"/>
      <c r="BB46" s="5373"/>
      <c r="BC46" s="5374"/>
      <c r="BD46" s="5374"/>
      <c r="BE46" s="5374"/>
      <c r="BF46" s="5374"/>
      <c r="BG46" s="5374"/>
      <c r="BH46" s="5374"/>
      <c r="BI46" s="5375"/>
      <c r="BJ46" s="5373"/>
      <c r="BK46" s="5374"/>
      <c r="BL46" s="5374"/>
      <c r="BM46" s="5374"/>
      <c r="BN46" s="5374"/>
      <c r="BO46" s="5374"/>
      <c r="BP46" s="5374"/>
      <c r="BQ46" s="5375"/>
      <c r="BR46" s="5373"/>
      <c r="BS46" s="5374"/>
      <c r="BT46" s="5374"/>
      <c r="BU46" s="5374"/>
      <c r="BV46" s="5374"/>
      <c r="BW46" s="5374"/>
      <c r="BX46" s="5374"/>
      <c r="BY46" s="5375"/>
      <c r="BZ46" s="5373"/>
      <c r="CA46" s="5374"/>
      <c r="CB46" s="5374"/>
      <c r="CC46" s="5374"/>
      <c r="CD46" s="5374"/>
      <c r="CE46" s="5374"/>
      <c r="CF46" s="5374"/>
      <c r="CG46" s="5375"/>
      <c r="CH46" s="5373"/>
      <c r="CI46" s="5374"/>
      <c r="CJ46" s="5374"/>
      <c r="CK46" s="5374"/>
      <c r="CL46" s="5374"/>
      <c r="CM46" s="5374"/>
      <c r="CN46" s="5374"/>
      <c r="CO46" s="5375"/>
      <c r="CP46" s="5373"/>
      <c r="CQ46" s="5374"/>
      <c r="CR46" s="5374"/>
      <c r="CS46" s="5374"/>
      <c r="CT46" s="5374"/>
      <c r="CU46" s="5374"/>
      <c r="CV46" s="5374"/>
      <c r="CW46" s="5375"/>
      <c r="CX46" s="5373"/>
      <c r="CY46" s="5374"/>
      <c r="CZ46" s="5374"/>
      <c r="DA46" s="5374"/>
      <c r="DB46" s="5374"/>
      <c r="DC46" s="5374"/>
      <c r="DD46" s="5374"/>
      <c r="DE46" s="5376"/>
      <c r="DF46" s="5375"/>
      <c r="DG46" s="1184" t="s">
        <v>429</v>
      </c>
      <c r="DI46" s="436"/>
      <c r="DJ46" s="436" t="str">
        <f t="shared" si="1"/>
        <v xml:space="preserve">Источник тепловой энергии  </v>
      </c>
      <c r="DK46" s="436"/>
      <c r="DL46" s="436"/>
      <c r="DM46" s="1081">
        <v>21</v>
      </c>
    </row>
    <row r="47" spans="1:117" s="1568" customFormat="1" ht="0" hidden="1" customHeight="1">
      <c r="A47" s="1269" t="s">
        <v>193</v>
      </c>
      <c r="B47" s="1269" t="s">
        <v>194</v>
      </c>
      <c r="C47" s="1269" t="s">
        <v>195</v>
      </c>
      <c r="D47" s="1269" t="s">
        <v>196</v>
      </c>
      <c r="E47" s="5382"/>
      <c r="F47" s="5382"/>
      <c r="G47" s="5382"/>
      <c r="H47" s="5382"/>
      <c r="I47" s="5383" t="str">
        <f>S46&amp;".1"</f>
        <v>1.1.1.1.1</v>
      </c>
      <c r="J47" s="1269"/>
      <c r="K47" s="1269"/>
      <c r="L47" s="1272" t="s">
        <v>430</v>
      </c>
      <c r="M47" s="446"/>
      <c r="N47" s="446"/>
      <c r="O47" s="446"/>
      <c r="P47" s="5385">
        <v>1</v>
      </c>
      <c r="Q47" s="1257"/>
      <c r="R47" s="292"/>
      <c r="S47" s="971"/>
      <c r="T47" s="1309"/>
      <c r="U47" s="1310"/>
      <c r="V47" s="5420"/>
      <c r="W47" s="5421"/>
      <c r="X47" s="5421"/>
      <c r="Y47" s="5421"/>
      <c r="Z47" s="5421"/>
      <c r="AA47" s="5421"/>
      <c r="AB47" s="5421"/>
      <c r="AC47" s="5422"/>
      <c r="AD47" s="5420"/>
      <c r="AE47" s="5421"/>
      <c r="AF47" s="5421"/>
      <c r="AG47" s="5421"/>
      <c r="AH47" s="5421"/>
      <c r="AI47" s="5421"/>
      <c r="AJ47" s="5421"/>
      <c r="AK47" s="5421"/>
      <c r="AL47" s="5420"/>
      <c r="AM47" s="5421"/>
      <c r="AN47" s="5421"/>
      <c r="AO47" s="5421"/>
      <c r="AP47" s="5421"/>
      <c r="AQ47" s="5421"/>
      <c r="AR47" s="5421"/>
      <c r="AS47" s="5422"/>
      <c r="AT47" s="5420"/>
      <c r="AU47" s="5421"/>
      <c r="AV47" s="5421"/>
      <c r="AW47" s="5421"/>
      <c r="AX47" s="5421"/>
      <c r="AY47" s="5421"/>
      <c r="AZ47" s="5421"/>
      <c r="BA47" s="5422"/>
      <c r="BB47" s="5420"/>
      <c r="BC47" s="5421"/>
      <c r="BD47" s="5421"/>
      <c r="BE47" s="5421"/>
      <c r="BF47" s="5421"/>
      <c r="BG47" s="5421"/>
      <c r="BH47" s="5421"/>
      <c r="BI47" s="5422"/>
      <c r="BJ47" s="5420"/>
      <c r="BK47" s="5421"/>
      <c r="BL47" s="5421"/>
      <c r="BM47" s="5421"/>
      <c r="BN47" s="5421"/>
      <c r="BO47" s="5421"/>
      <c r="BP47" s="5421"/>
      <c r="BQ47" s="5422"/>
      <c r="BR47" s="5420"/>
      <c r="BS47" s="5421"/>
      <c r="BT47" s="5421"/>
      <c r="BU47" s="5421"/>
      <c r="BV47" s="5421"/>
      <c r="BW47" s="5421"/>
      <c r="BX47" s="5421"/>
      <c r="BY47" s="5422"/>
      <c r="BZ47" s="5420"/>
      <c r="CA47" s="5421"/>
      <c r="CB47" s="5421"/>
      <c r="CC47" s="5421"/>
      <c r="CD47" s="5421"/>
      <c r="CE47" s="5421"/>
      <c r="CF47" s="5421"/>
      <c r="CG47" s="5422"/>
      <c r="CH47" s="5420"/>
      <c r="CI47" s="5421"/>
      <c r="CJ47" s="5421"/>
      <c r="CK47" s="5421"/>
      <c r="CL47" s="5421"/>
      <c r="CM47" s="5421"/>
      <c r="CN47" s="5421"/>
      <c r="CO47" s="5422"/>
      <c r="CP47" s="5420"/>
      <c r="CQ47" s="5421"/>
      <c r="CR47" s="5421"/>
      <c r="CS47" s="5421"/>
      <c r="CT47" s="5421"/>
      <c r="CU47" s="5421"/>
      <c r="CV47" s="5421"/>
      <c r="CW47" s="5422"/>
      <c r="CX47" s="5420"/>
      <c r="CY47" s="5421"/>
      <c r="CZ47" s="5421"/>
      <c r="DA47" s="5421"/>
      <c r="DB47" s="5421"/>
      <c r="DC47" s="5421"/>
      <c r="DD47" s="5421"/>
      <c r="DE47" s="5423"/>
      <c r="DF47" s="5422"/>
      <c r="DG47" s="1311"/>
      <c r="DI47" s="436"/>
      <c r="DJ47" s="436" t="str">
        <f t="shared" si="1"/>
        <v/>
      </c>
      <c r="DK47" s="436"/>
      <c r="DL47" s="436"/>
      <c r="DM47" s="447">
        <v>0</v>
      </c>
    </row>
    <row r="48" spans="1:117" ht="21.95" customHeight="1">
      <c r="A48" s="1289" t="s">
        <v>193</v>
      </c>
      <c r="B48" s="1289" t="s">
        <v>194</v>
      </c>
      <c r="C48" s="1289" t="s">
        <v>195</v>
      </c>
      <c r="D48" s="1289" t="s">
        <v>196</v>
      </c>
      <c r="E48" s="5382"/>
      <c r="F48" s="5382"/>
      <c r="G48" s="5382"/>
      <c r="H48" s="5382"/>
      <c r="I48" s="5384"/>
      <c r="J48" s="5383" t="str">
        <f>S46&amp;".1"</f>
        <v>1.1.1.1.1</v>
      </c>
      <c r="K48" s="1289"/>
      <c r="L48" s="1290" t="s">
        <v>433</v>
      </c>
      <c r="P48" s="5385"/>
      <c r="Q48" s="5385">
        <v>1</v>
      </c>
      <c r="R48" s="293"/>
      <c r="S48" s="1262" t="str">
        <f>$J48</f>
        <v>1.1.1.1.1</v>
      </c>
      <c r="T48" s="223" t="s">
        <v>434</v>
      </c>
      <c r="U48" s="237"/>
      <c r="V48" s="5366"/>
      <c r="W48" s="5367"/>
      <c r="X48" s="5367"/>
      <c r="Y48" s="5367"/>
      <c r="Z48" s="5367"/>
      <c r="AA48" s="5367"/>
      <c r="AB48" s="5367"/>
      <c r="AC48" s="5368"/>
      <c r="AD48" s="5366" t="s">
        <v>479</v>
      </c>
      <c r="AE48" s="5367"/>
      <c r="AF48" s="5367"/>
      <c r="AG48" s="5367"/>
      <c r="AH48" s="5367"/>
      <c r="AI48" s="5367"/>
      <c r="AJ48" s="5367"/>
      <c r="AK48" s="5367"/>
      <c r="AL48" s="5366"/>
      <c r="AM48" s="5367"/>
      <c r="AN48" s="5367"/>
      <c r="AO48" s="5367"/>
      <c r="AP48" s="5367"/>
      <c r="AQ48" s="5367"/>
      <c r="AR48" s="5367"/>
      <c r="AS48" s="5368"/>
      <c r="AT48" s="5366"/>
      <c r="AU48" s="5367"/>
      <c r="AV48" s="5367"/>
      <c r="AW48" s="5367"/>
      <c r="AX48" s="5367"/>
      <c r="AY48" s="5367"/>
      <c r="AZ48" s="5367"/>
      <c r="BA48" s="5368"/>
      <c r="BB48" s="5366"/>
      <c r="BC48" s="5367"/>
      <c r="BD48" s="5367"/>
      <c r="BE48" s="5367"/>
      <c r="BF48" s="5367"/>
      <c r="BG48" s="5367"/>
      <c r="BH48" s="5367"/>
      <c r="BI48" s="5368"/>
      <c r="BJ48" s="5366"/>
      <c r="BK48" s="5367"/>
      <c r="BL48" s="5367"/>
      <c r="BM48" s="5367"/>
      <c r="BN48" s="5367"/>
      <c r="BO48" s="5367"/>
      <c r="BP48" s="5367"/>
      <c r="BQ48" s="5368"/>
      <c r="BR48" s="5366"/>
      <c r="BS48" s="5367"/>
      <c r="BT48" s="5367"/>
      <c r="BU48" s="5367"/>
      <c r="BV48" s="5367"/>
      <c r="BW48" s="5367"/>
      <c r="BX48" s="5367"/>
      <c r="BY48" s="5368"/>
      <c r="BZ48" s="5366"/>
      <c r="CA48" s="5367"/>
      <c r="CB48" s="5367"/>
      <c r="CC48" s="5367"/>
      <c r="CD48" s="5367"/>
      <c r="CE48" s="5367"/>
      <c r="CF48" s="5367"/>
      <c r="CG48" s="5368"/>
      <c r="CH48" s="5366"/>
      <c r="CI48" s="5367"/>
      <c r="CJ48" s="5367"/>
      <c r="CK48" s="5367"/>
      <c r="CL48" s="5367"/>
      <c r="CM48" s="5367"/>
      <c r="CN48" s="5367"/>
      <c r="CO48" s="5368"/>
      <c r="CP48" s="5366"/>
      <c r="CQ48" s="5367"/>
      <c r="CR48" s="5367"/>
      <c r="CS48" s="5367"/>
      <c r="CT48" s="5367"/>
      <c r="CU48" s="5367"/>
      <c r="CV48" s="5367"/>
      <c r="CW48" s="5368"/>
      <c r="CX48" s="5366"/>
      <c r="CY48" s="5367"/>
      <c r="CZ48" s="5367"/>
      <c r="DA48" s="5367"/>
      <c r="DB48" s="5367"/>
      <c r="DC48" s="5367"/>
      <c r="DD48" s="5367"/>
      <c r="DE48" s="5369"/>
      <c r="DF48" s="5368"/>
      <c r="DG48" s="1184" t="s">
        <v>435</v>
      </c>
      <c r="DI48" s="436"/>
      <c r="DJ48" s="436" t="str">
        <f t="shared" si="1"/>
        <v>Группа потребителей</v>
      </c>
      <c r="DK48" s="436"/>
      <c r="DL48" s="436"/>
      <c r="DM48" s="1081">
        <v>21</v>
      </c>
    </row>
    <row r="49" spans="1:117" ht="21.95" customHeight="1">
      <c r="A49" s="1289" t="s">
        <v>193</v>
      </c>
      <c r="B49" s="1289" t="s">
        <v>194</v>
      </c>
      <c r="C49" s="1289" t="s">
        <v>195</v>
      </c>
      <c r="D49" s="1289" t="s">
        <v>196</v>
      </c>
      <c r="E49" s="5382"/>
      <c r="F49" s="5382"/>
      <c r="G49" s="5382"/>
      <c r="H49" s="5382"/>
      <c r="I49" s="5384"/>
      <c r="J49" s="5384"/>
      <c r="K49" s="5383" t="str">
        <f>J48&amp;".1"</f>
        <v>1.1.1.1.1.1</v>
      </c>
      <c r="L49" s="1290" t="s">
        <v>436</v>
      </c>
      <c r="P49" s="5385"/>
      <c r="Q49" s="5385"/>
      <c r="R49" s="293">
        <v>1</v>
      </c>
      <c r="S49" s="1262" t="str">
        <f>$K49</f>
        <v>1.1.1.1.1.1</v>
      </c>
      <c r="T49" s="1273" t="s">
        <v>473</v>
      </c>
      <c r="U49" s="237"/>
      <c r="V49" s="687"/>
      <c r="W49" s="262"/>
      <c r="X49" s="687"/>
      <c r="Y49" s="1183"/>
      <c r="Z49" s="5386"/>
      <c r="AA49" s="5245" t="s">
        <v>65</v>
      </c>
      <c r="AB49" s="5386"/>
      <c r="AC49" s="5245" t="s">
        <v>65</v>
      </c>
      <c r="AD49" s="687">
        <v>43.42</v>
      </c>
      <c r="AE49" s="262"/>
      <c r="AF49" s="687"/>
      <c r="AG49" s="1183"/>
      <c r="AH49" s="5386">
        <v>45292</v>
      </c>
      <c r="AI49" s="5245" t="s">
        <v>65</v>
      </c>
      <c r="AJ49" s="5388">
        <v>45473</v>
      </c>
      <c r="AK49" s="5245" t="s">
        <v>65</v>
      </c>
      <c r="AL49" s="687">
        <v>45.76</v>
      </c>
      <c r="AM49" s="262"/>
      <c r="AN49" s="687"/>
      <c r="AO49" s="1183"/>
      <c r="AP49" s="5386">
        <v>45474</v>
      </c>
      <c r="AQ49" s="5245" t="s">
        <v>65</v>
      </c>
      <c r="AR49" s="5386">
        <v>45657</v>
      </c>
      <c r="AS49" s="5245" t="s">
        <v>65</v>
      </c>
      <c r="AT49" s="687">
        <v>45.76</v>
      </c>
      <c r="AU49" s="262"/>
      <c r="AV49" s="687"/>
      <c r="AW49" s="1183"/>
      <c r="AX49" s="5386">
        <v>45658</v>
      </c>
      <c r="AY49" s="5245" t="s">
        <v>65</v>
      </c>
      <c r="AZ49" s="5386">
        <v>45838</v>
      </c>
      <c r="BA49" s="5245" t="s">
        <v>65</v>
      </c>
      <c r="BB49" s="687">
        <v>50.17</v>
      </c>
      <c r="BC49" s="262"/>
      <c r="BD49" s="687"/>
      <c r="BE49" s="1183"/>
      <c r="BF49" s="5386">
        <v>45839</v>
      </c>
      <c r="BG49" s="5245" t="s">
        <v>65</v>
      </c>
      <c r="BH49" s="5386">
        <v>46022</v>
      </c>
      <c r="BI49" s="5245" t="s">
        <v>65</v>
      </c>
      <c r="BJ49" s="687">
        <v>50.17</v>
      </c>
      <c r="BK49" s="262"/>
      <c r="BL49" s="687"/>
      <c r="BM49" s="1183"/>
      <c r="BN49" s="5386">
        <v>46023</v>
      </c>
      <c r="BO49" s="5245" t="s">
        <v>65</v>
      </c>
      <c r="BP49" s="5386">
        <v>46203</v>
      </c>
      <c r="BQ49" s="5245" t="s">
        <v>65</v>
      </c>
      <c r="BR49" s="687">
        <v>51.55</v>
      </c>
      <c r="BS49" s="262"/>
      <c r="BT49" s="687"/>
      <c r="BU49" s="1183"/>
      <c r="BV49" s="5386">
        <v>46204</v>
      </c>
      <c r="BW49" s="5245" t="s">
        <v>65</v>
      </c>
      <c r="BX49" s="5386">
        <v>46387</v>
      </c>
      <c r="BY49" s="5245" t="s">
        <v>65</v>
      </c>
      <c r="BZ49" s="687">
        <v>51.55</v>
      </c>
      <c r="CA49" s="262"/>
      <c r="CB49" s="687"/>
      <c r="CC49" s="1183"/>
      <c r="CD49" s="5386">
        <v>46388</v>
      </c>
      <c r="CE49" s="5245" t="s">
        <v>65</v>
      </c>
      <c r="CF49" s="5386">
        <v>46568</v>
      </c>
      <c r="CG49" s="5245" t="s">
        <v>65</v>
      </c>
      <c r="CH49" s="687">
        <v>54.79</v>
      </c>
      <c r="CI49" s="262"/>
      <c r="CJ49" s="687"/>
      <c r="CK49" s="1183"/>
      <c r="CL49" s="5386">
        <v>46569</v>
      </c>
      <c r="CM49" s="5245" t="s">
        <v>65</v>
      </c>
      <c r="CN49" s="5386">
        <v>46752</v>
      </c>
      <c r="CO49" s="5245" t="s">
        <v>65</v>
      </c>
      <c r="CP49" s="687">
        <v>54.79</v>
      </c>
      <c r="CQ49" s="262"/>
      <c r="CR49" s="687"/>
      <c r="CS49" s="1183"/>
      <c r="CT49" s="5386">
        <v>46753</v>
      </c>
      <c r="CU49" s="5245" t="s">
        <v>65</v>
      </c>
      <c r="CV49" s="5386">
        <v>46934</v>
      </c>
      <c r="CW49" s="5245" t="s">
        <v>65</v>
      </c>
      <c r="CX49" s="687">
        <v>56.42</v>
      </c>
      <c r="CY49" s="262"/>
      <c r="CZ49" s="687"/>
      <c r="DA49" s="1183"/>
      <c r="DB49" s="5386">
        <v>46935</v>
      </c>
      <c r="DC49" s="5245" t="s">
        <v>65</v>
      </c>
      <c r="DD49" s="5386">
        <v>47118</v>
      </c>
      <c r="DE49" s="5245" t="s">
        <v>65</v>
      </c>
      <c r="DF49" s="1274"/>
      <c r="DG49" s="5405" t="s">
        <v>480</v>
      </c>
      <c r="DH49" s="447" t="e">
        <f ca="1">STRCHECKDATE(V50:DF50)</f>
        <v>#NAME?</v>
      </c>
      <c r="DI49" s="436"/>
      <c r="DJ49" s="436" t="str">
        <f t="shared" si="1"/>
        <v>вода</v>
      </c>
      <c r="DK49" s="436"/>
      <c r="DL49" s="436"/>
      <c r="DM49" s="1081">
        <v>21</v>
      </c>
    </row>
    <row r="50" spans="1:117" ht="1.1499999999999999" customHeight="1">
      <c r="A50" s="1289" t="s">
        <v>193</v>
      </c>
      <c r="B50" s="1289" t="s">
        <v>194</v>
      </c>
      <c r="C50" s="1289" t="s">
        <v>195</v>
      </c>
      <c r="D50" s="1289" t="s">
        <v>196</v>
      </c>
      <c r="E50" s="5382"/>
      <c r="F50" s="5382"/>
      <c r="G50" s="5382"/>
      <c r="H50" s="5382"/>
      <c r="I50" s="5384"/>
      <c r="J50" s="5384"/>
      <c r="K50" s="5383"/>
      <c r="L50" s="1290"/>
      <c r="P50" s="5385"/>
      <c r="Q50" s="5385"/>
      <c r="R50" s="293"/>
      <c r="S50" s="1268"/>
      <c r="T50" s="237"/>
      <c r="U50" s="237"/>
      <c r="V50" s="262"/>
      <c r="W50" s="262"/>
      <c r="X50" s="262"/>
      <c r="Y50" s="265" t="str">
        <f>Z49&amp;"-"&amp;AB49</f>
        <v>-</v>
      </c>
      <c r="Z50" s="5387"/>
      <c r="AA50" s="5245"/>
      <c r="AB50" s="5387"/>
      <c r="AC50" s="5245"/>
      <c r="AD50" s="262"/>
      <c r="AE50" s="262"/>
      <c r="AF50" s="262"/>
      <c r="AG50" s="265" t="str">
        <f>AH49&amp;"-"&amp;AJ49</f>
        <v>45292-45473</v>
      </c>
      <c r="AH50" s="5387"/>
      <c r="AI50" s="5245"/>
      <c r="AJ50" s="5389"/>
      <c r="AK50" s="5245"/>
      <c r="AL50" s="262"/>
      <c r="AM50" s="262"/>
      <c r="AN50" s="262"/>
      <c r="AO50" s="265" t="str">
        <f>AP49&amp;"-"&amp;AR49</f>
        <v>45474-45657</v>
      </c>
      <c r="AP50" s="5387"/>
      <c r="AQ50" s="5245"/>
      <c r="AR50" s="5387"/>
      <c r="AS50" s="5245"/>
      <c r="AT50" s="262"/>
      <c r="AU50" s="262"/>
      <c r="AV50" s="262"/>
      <c r="AW50" s="265" t="str">
        <f>AX49&amp;"-"&amp;AZ49</f>
        <v>45658-45838</v>
      </c>
      <c r="AX50" s="5387"/>
      <c r="AY50" s="5245"/>
      <c r="AZ50" s="5387"/>
      <c r="BA50" s="5245"/>
      <c r="BB50" s="262"/>
      <c r="BC50" s="262"/>
      <c r="BD50" s="262"/>
      <c r="BE50" s="265" t="str">
        <f>BF49&amp;"-"&amp;BH49</f>
        <v>45839-46022</v>
      </c>
      <c r="BF50" s="5387"/>
      <c r="BG50" s="5245"/>
      <c r="BH50" s="5387"/>
      <c r="BI50" s="5245"/>
      <c r="BJ50" s="262"/>
      <c r="BK50" s="262"/>
      <c r="BL50" s="262"/>
      <c r="BM50" s="265" t="str">
        <f>BN49&amp;"-"&amp;BP49</f>
        <v>46023-46203</v>
      </c>
      <c r="BN50" s="5387"/>
      <c r="BO50" s="5245"/>
      <c r="BP50" s="5387"/>
      <c r="BQ50" s="5245"/>
      <c r="BR50" s="262"/>
      <c r="BS50" s="262"/>
      <c r="BT50" s="262"/>
      <c r="BU50" s="265" t="str">
        <f>BV49&amp;"-"&amp;BX49</f>
        <v>46204-46387</v>
      </c>
      <c r="BV50" s="5387"/>
      <c r="BW50" s="5245"/>
      <c r="BX50" s="5387"/>
      <c r="BY50" s="5245"/>
      <c r="BZ50" s="262"/>
      <c r="CA50" s="262"/>
      <c r="CB50" s="262"/>
      <c r="CC50" s="265" t="str">
        <f>CD49&amp;"-"&amp;CF49</f>
        <v>46388-46568</v>
      </c>
      <c r="CD50" s="5387"/>
      <c r="CE50" s="5245"/>
      <c r="CF50" s="5387"/>
      <c r="CG50" s="5245"/>
      <c r="CH50" s="262"/>
      <c r="CI50" s="262"/>
      <c r="CJ50" s="262"/>
      <c r="CK50" s="265" t="str">
        <f>CL49&amp;"-"&amp;CN49</f>
        <v>46569-46752</v>
      </c>
      <c r="CL50" s="5387"/>
      <c r="CM50" s="5245"/>
      <c r="CN50" s="5387"/>
      <c r="CO50" s="5245"/>
      <c r="CP50" s="262"/>
      <c r="CQ50" s="262"/>
      <c r="CR50" s="262"/>
      <c r="CS50" s="265" t="str">
        <f>CT49&amp;"-"&amp;CV49</f>
        <v>46753-46934</v>
      </c>
      <c r="CT50" s="5387"/>
      <c r="CU50" s="5245"/>
      <c r="CV50" s="5387"/>
      <c r="CW50" s="5245"/>
      <c r="CX50" s="262"/>
      <c r="CY50" s="262"/>
      <c r="CZ50" s="262"/>
      <c r="DA50" s="265" t="str">
        <f>DB49&amp;"-"&amp;DD49</f>
        <v>46935-47118</v>
      </c>
      <c r="DB50" s="5387"/>
      <c r="DC50" s="5245"/>
      <c r="DD50" s="5387"/>
      <c r="DE50" s="5245"/>
      <c r="DF50" s="1275"/>
      <c r="DG50" s="5406"/>
      <c r="DI50" s="436"/>
      <c r="DJ50" s="436" t="str">
        <f t="shared" si="1"/>
        <v/>
      </c>
      <c r="DK50" s="436"/>
      <c r="DL50" s="436"/>
      <c r="DM50" s="1081">
        <v>1</v>
      </c>
    </row>
    <row r="51" spans="1:117" ht="11.45" customHeight="1">
      <c r="A51" s="1289" t="s">
        <v>193</v>
      </c>
      <c r="B51" s="1289" t="s">
        <v>194</v>
      </c>
      <c r="C51" s="1289" t="s">
        <v>195</v>
      </c>
      <c r="D51" s="1289" t="s">
        <v>196</v>
      </c>
      <c r="E51" s="5382"/>
      <c r="F51" s="5382"/>
      <c r="G51" s="5382"/>
      <c r="H51" s="5382"/>
      <c r="I51" s="5384"/>
      <c r="J51" s="5383"/>
      <c r="K51" s="1289"/>
      <c r="L51" s="1290"/>
      <c r="P51" s="5385"/>
      <c r="Q51" s="5385"/>
      <c r="R51" s="292"/>
      <c r="S51" s="1204"/>
      <c r="T51" s="224" t="s">
        <v>438</v>
      </c>
      <c r="U51" s="303"/>
      <c r="V51" s="303"/>
      <c r="W51" s="303"/>
      <c r="X51" s="303"/>
      <c r="Y51" s="303"/>
      <c r="Z51" s="303"/>
      <c r="AA51" s="303"/>
      <c r="AB51" s="303"/>
      <c r="AC51" s="303"/>
      <c r="AD51" s="303"/>
      <c r="AE51" s="303"/>
      <c r="AF51" s="303"/>
      <c r="AG51" s="303"/>
      <c r="AH51" s="303"/>
      <c r="AI51" s="303"/>
      <c r="AJ51" s="303"/>
      <c r="AK51" s="303"/>
      <c r="AL51" s="4281"/>
      <c r="AM51" s="4282"/>
      <c r="AN51" s="4283"/>
      <c r="AO51" s="4284"/>
      <c r="AP51" s="4285"/>
      <c r="AQ51" s="4286"/>
      <c r="AR51" s="4287"/>
      <c r="AS51" s="4288"/>
      <c r="AT51" s="4289"/>
      <c r="AU51" s="4290"/>
      <c r="AV51" s="4291"/>
      <c r="AW51" s="4292"/>
      <c r="AX51" s="4293"/>
      <c r="AY51" s="4294"/>
      <c r="AZ51" s="4295"/>
      <c r="BA51" s="4296"/>
      <c r="BB51" s="4297"/>
      <c r="BC51" s="4298"/>
      <c r="BD51" s="4299"/>
      <c r="BE51" s="4300"/>
      <c r="BF51" s="4301"/>
      <c r="BG51" s="4302"/>
      <c r="BH51" s="4303"/>
      <c r="BI51" s="4304"/>
      <c r="BJ51" s="4305"/>
      <c r="BK51" s="4306"/>
      <c r="BL51" s="4307"/>
      <c r="BM51" s="4308"/>
      <c r="BN51" s="4309"/>
      <c r="BO51" s="4310"/>
      <c r="BP51" s="4311"/>
      <c r="BQ51" s="4312"/>
      <c r="BR51" s="4313"/>
      <c r="BS51" s="4314"/>
      <c r="BT51" s="4315"/>
      <c r="BU51" s="4316"/>
      <c r="BV51" s="4317"/>
      <c r="BW51" s="4318"/>
      <c r="BX51" s="4319"/>
      <c r="BY51" s="4320"/>
      <c r="BZ51" s="4321"/>
      <c r="CA51" s="4322"/>
      <c r="CB51" s="4323"/>
      <c r="CC51" s="4324"/>
      <c r="CD51" s="4325"/>
      <c r="CE51" s="4326"/>
      <c r="CF51" s="4327"/>
      <c r="CG51" s="4328"/>
      <c r="CH51" s="4329"/>
      <c r="CI51" s="4330"/>
      <c r="CJ51" s="4331"/>
      <c r="CK51" s="4332"/>
      <c r="CL51" s="4333"/>
      <c r="CM51" s="4334"/>
      <c r="CN51" s="4335"/>
      <c r="CO51" s="4336"/>
      <c r="CP51" s="4337"/>
      <c r="CQ51" s="4338"/>
      <c r="CR51" s="4339"/>
      <c r="CS51" s="4340"/>
      <c r="CT51" s="4341"/>
      <c r="CU51" s="4342"/>
      <c r="CV51" s="4343"/>
      <c r="CW51" s="4344"/>
      <c r="CX51" s="4345"/>
      <c r="CY51" s="4346"/>
      <c r="CZ51" s="4347"/>
      <c r="DA51" s="4348"/>
      <c r="DB51" s="4349"/>
      <c r="DC51" s="4350"/>
      <c r="DD51" s="4351"/>
      <c r="DE51" s="5191"/>
      <c r="DF51" s="261"/>
      <c r="DG51" s="5407"/>
      <c r="DI51" s="436"/>
      <c r="DJ51" s="436" t="str">
        <f t="shared" si="1"/>
        <v>Добавить вид теплоносителя (параметры теплоносителя)</v>
      </c>
      <c r="DK51" s="436"/>
      <c r="DL51" s="436"/>
      <c r="DM51" s="1081">
        <v>11</v>
      </c>
    </row>
    <row r="52" spans="1:117" ht="11.45" customHeight="1">
      <c r="A52" s="1289" t="s">
        <v>193</v>
      </c>
      <c r="B52" s="1289" t="s">
        <v>194</v>
      </c>
      <c r="C52" s="1289" t="s">
        <v>195</v>
      </c>
      <c r="D52" s="1289" t="s">
        <v>196</v>
      </c>
      <c r="E52" s="5382"/>
      <c r="F52" s="5382"/>
      <c r="G52" s="5382"/>
      <c r="H52" s="5382"/>
      <c r="I52" s="5383"/>
      <c r="J52" s="1289"/>
      <c r="K52" s="1289"/>
      <c r="L52" s="1290"/>
      <c r="P52" s="5385"/>
      <c r="Q52" s="1257"/>
      <c r="R52" s="292"/>
      <c r="S52" s="1204"/>
      <c r="T52" s="301" t="s">
        <v>439</v>
      </c>
      <c r="U52" s="303"/>
      <c r="V52" s="303"/>
      <c r="W52" s="303"/>
      <c r="X52" s="303"/>
      <c r="Y52" s="303"/>
      <c r="Z52" s="303"/>
      <c r="AA52" s="303"/>
      <c r="AB52" s="303"/>
      <c r="AC52" s="302"/>
      <c r="AD52" s="303"/>
      <c r="AE52" s="303"/>
      <c r="AF52" s="303"/>
      <c r="AG52" s="303"/>
      <c r="AH52" s="303"/>
      <c r="AI52" s="303"/>
      <c r="AJ52" s="303"/>
      <c r="AK52" s="302"/>
      <c r="AL52" s="4352"/>
      <c r="AM52" s="4353"/>
      <c r="AN52" s="4354"/>
      <c r="AO52" s="4355"/>
      <c r="AP52" s="4356"/>
      <c r="AQ52" s="4357"/>
      <c r="AR52" s="4358"/>
      <c r="AS52" s="4359"/>
      <c r="AT52" s="4360"/>
      <c r="AU52" s="4361"/>
      <c r="AV52" s="4362"/>
      <c r="AW52" s="4363"/>
      <c r="AX52" s="4364"/>
      <c r="AY52" s="4365"/>
      <c r="AZ52" s="4366"/>
      <c r="BA52" s="4367"/>
      <c r="BB52" s="4368"/>
      <c r="BC52" s="4369"/>
      <c r="BD52" s="4370"/>
      <c r="BE52" s="4371"/>
      <c r="BF52" s="4372"/>
      <c r="BG52" s="4373"/>
      <c r="BH52" s="4374"/>
      <c r="BI52" s="4375"/>
      <c r="BJ52" s="4376"/>
      <c r="BK52" s="4377"/>
      <c r="BL52" s="4378"/>
      <c r="BM52" s="4379"/>
      <c r="BN52" s="4380"/>
      <c r="BO52" s="4381"/>
      <c r="BP52" s="4382"/>
      <c r="BQ52" s="4383"/>
      <c r="BR52" s="4384"/>
      <c r="BS52" s="4385"/>
      <c r="BT52" s="4386"/>
      <c r="BU52" s="4387"/>
      <c r="BV52" s="4388"/>
      <c r="BW52" s="4389"/>
      <c r="BX52" s="4390"/>
      <c r="BY52" s="4391"/>
      <c r="BZ52" s="4392"/>
      <c r="CA52" s="4393"/>
      <c r="CB52" s="4394"/>
      <c r="CC52" s="4395"/>
      <c r="CD52" s="4396"/>
      <c r="CE52" s="4397"/>
      <c r="CF52" s="4398"/>
      <c r="CG52" s="4399"/>
      <c r="CH52" s="4400"/>
      <c r="CI52" s="4401"/>
      <c r="CJ52" s="4402"/>
      <c r="CK52" s="4403"/>
      <c r="CL52" s="4404"/>
      <c r="CM52" s="4405"/>
      <c r="CN52" s="4406"/>
      <c r="CO52" s="4407"/>
      <c r="CP52" s="4408"/>
      <c r="CQ52" s="4409"/>
      <c r="CR52" s="4410"/>
      <c r="CS52" s="4411"/>
      <c r="CT52" s="4412"/>
      <c r="CU52" s="4413"/>
      <c r="CV52" s="4414"/>
      <c r="CW52" s="4415"/>
      <c r="CX52" s="4416"/>
      <c r="CY52" s="4417"/>
      <c r="CZ52" s="4418"/>
      <c r="DA52" s="4419"/>
      <c r="DB52" s="4420"/>
      <c r="DC52" s="4421"/>
      <c r="DD52" s="4422"/>
      <c r="DE52" s="5192"/>
      <c r="DF52" s="303"/>
      <c r="DG52" s="240"/>
      <c r="DI52" s="436"/>
      <c r="DJ52" s="436" t="str">
        <f t="shared" si="1"/>
        <v>Добавить группу потребителей</v>
      </c>
      <c r="DK52" s="436"/>
      <c r="DL52" s="436"/>
      <c r="DM52" s="1081">
        <v>11</v>
      </c>
    </row>
    <row r="53" spans="1:117" ht="0" hidden="1" customHeight="1">
      <c r="A53" s="1289" t="s">
        <v>193</v>
      </c>
      <c r="B53" s="1289" t="s">
        <v>194</v>
      </c>
      <c r="C53" s="1289" t="s">
        <v>195</v>
      </c>
      <c r="D53" s="1289" t="s">
        <v>196</v>
      </c>
      <c r="E53" s="5382"/>
      <c r="F53" s="5382"/>
      <c r="G53" s="5382"/>
      <c r="H53" s="538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c r="BG53" s="1314"/>
      <c r="BH53" s="1314"/>
      <c r="BI53" s="1314"/>
      <c r="BJ53" s="1314"/>
      <c r="BK53" s="1314"/>
      <c r="BL53" s="1314"/>
      <c r="BM53" s="1314"/>
      <c r="BN53" s="1314"/>
      <c r="BO53" s="1314"/>
      <c r="BP53" s="1314"/>
      <c r="BQ53" s="1314"/>
      <c r="BR53" s="1314"/>
      <c r="BS53" s="1314"/>
      <c r="BT53" s="1314"/>
      <c r="BU53" s="1314"/>
      <c r="BV53" s="1314"/>
      <c r="BW53" s="1314"/>
      <c r="BX53" s="1314"/>
      <c r="BY53" s="1314"/>
      <c r="BZ53" s="1314"/>
      <c r="CA53" s="1314"/>
      <c r="CB53" s="1314"/>
      <c r="CC53" s="1314"/>
      <c r="CD53" s="1314"/>
      <c r="CE53" s="1314"/>
      <c r="CF53" s="1314"/>
      <c r="CG53" s="1314"/>
      <c r="CH53" s="1314"/>
      <c r="CI53" s="1314"/>
      <c r="CJ53" s="1314"/>
      <c r="CK53" s="1314"/>
      <c r="CL53" s="1314"/>
      <c r="CM53" s="1314"/>
      <c r="CN53" s="1314"/>
      <c r="CO53" s="1314"/>
      <c r="CP53" s="1314"/>
      <c r="CQ53" s="1314"/>
      <c r="CR53" s="1314"/>
      <c r="CS53" s="1314"/>
      <c r="CT53" s="1314"/>
      <c r="CU53" s="1314"/>
      <c r="CV53" s="1314"/>
      <c r="CW53" s="1314"/>
      <c r="CX53" s="1314"/>
      <c r="CY53" s="1314"/>
      <c r="CZ53" s="1314"/>
      <c r="DA53" s="1314"/>
      <c r="DB53" s="1314"/>
      <c r="DC53" s="1314"/>
      <c r="DD53" s="1314"/>
      <c r="DE53" s="5190"/>
      <c r="DF53" s="1314"/>
      <c r="DG53" s="1315"/>
      <c r="DI53" s="436"/>
      <c r="DJ53" s="436" t="str">
        <f t="shared" si="1"/>
        <v/>
      </c>
      <c r="DK53" s="436"/>
      <c r="DL53" s="436"/>
      <c r="DM53" s="1081">
        <v>0</v>
      </c>
    </row>
    <row r="54" spans="1:117" s="1568" customFormat="1" ht="1.1499999999999999" customHeight="1">
      <c r="A54" s="1269" t="s">
        <v>193</v>
      </c>
      <c r="B54" s="1269" t="s">
        <v>194</v>
      </c>
      <c r="C54" s="1269" t="s">
        <v>195</v>
      </c>
      <c r="D54" s="1240"/>
      <c r="E54" s="5382"/>
      <c r="F54" s="5382"/>
      <c r="G54" s="5381"/>
      <c r="H54" s="1240"/>
      <c r="I54" s="1240"/>
      <c r="J54" s="1240"/>
      <c r="K54" s="1240"/>
      <c r="L54" s="1265"/>
      <c r="M54" s="1241"/>
      <c r="N54" s="1241"/>
      <c r="P54" s="1242"/>
      <c r="Q54" s="1243"/>
      <c r="R54" s="1242"/>
      <c r="S54" s="1248"/>
      <c r="T54" s="1251" t="s">
        <v>163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c r="CB54" s="1250"/>
      <c r="CC54" s="1250"/>
      <c r="CD54" s="1250"/>
      <c r="CE54" s="1250"/>
      <c r="CF54" s="1250"/>
      <c r="CG54" s="1250"/>
      <c r="CH54" s="1250"/>
      <c r="CI54" s="1250"/>
      <c r="CJ54" s="1250"/>
      <c r="CK54" s="1250"/>
      <c r="CL54" s="1250"/>
      <c r="CM54" s="1250"/>
      <c r="CN54" s="1250"/>
      <c r="CO54" s="1250"/>
      <c r="CP54" s="1250"/>
      <c r="CQ54" s="1250"/>
      <c r="CR54" s="1250"/>
      <c r="CS54" s="1250"/>
      <c r="CT54" s="1250"/>
      <c r="CU54" s="1250"/>
      <c r="CV54" s="1250"/>
      <c r="CW54" s="1250"/>
      <c r="CX54" s="1250"/>
      <c r="CY54" s="1250"/>
      <c r="CZ54" s="1250"/>
      <c r="DA54" s="1250"/>
      <c r="DB54" s="1250"/>
      <c r="DC54" s="1250"/>
      <c r="DD54" s="1250"/>
      <c r="DE54" s="1250"/>
      <c r="DF54" s="1250"/>
      <c r="DG54" s="1250"/>
      <c r="DI54" s="719"/>
      <c r="DJ54" s="719" t="str">
        <f t="shared" si="1"/>
        <v>Добавить источник для дифференциации</v>
      </c>
      <c r="DK54" s="719"/>
      <c r="DL54" s="719"/>
      <c r="DM54" s="454">
        <v>1</v>
      </c>
    </row>
    <row r="55" spans="1:117" s="1568" customFormat="1" ht="1.1499999999999999" customHeight="1">
      <c r="A55" s="1269" t="s">
        <v>193</v>
      </c>
      <c r="B55" s="1269" t="s">
        <v>194</v>
      </c>
      <c r="C55" s="1240"/>
      <c r="D55" s="1240"/>
      <c r="E55" s="5382"/>
      <c r="F55" s="5381"/>
      <c r="G55" s="1240"/>
      <c r="H55" s="1240"/>
      <c r="I55" s="1240"/>
      <c r="J55" s="1240"/>
      <c r="K55" s="1240"/>
      <c r="L55" s="1265"/>
      <c r="M55" s="1247"/>
      <c r="N55" s="1247"/>
      <c r="P55" s="1242"/>
      <c r="Q55" s="1243"/>
      <c r="R55" s="1242"/>
      <c r="S55" s="1248"/>
      <c r="T55" s="1251" t="s">
        <v>164</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c r="CB55" s="1250"/>
      <c r="CC55" s="1250"/>
      <c r="CD55" s="1250"/>
      <c r="CE55" s="1250"/>
      <c r="CF55" s="1250"/>
      <c r="CG55" s="1250"/>
      <c r="CH55" s="1250"/>
      <c r="CI55" s="1250"/>
      <c r="CJ55" s="1250"/>
      <c r="CK55" s="1250"/>
      <c r="CL55" s="1250"/>
      <c r="CM55" s="1250"/>
      <c r="CN55" s="1250"/>
      <c r="CO55" s="1250"/>
      <c r="CP55" s="1250"/>
      <c r="CQ55" s="1250"/>
      <c r="CR55" s="1250"/>
      <c r="CS55" s="1250"/>
      <c r="CT55" s="1250"/>
      <c r="CU55" s="1250"/>
      <c r="CV55" s="1250"/>
      <c r="CW55" s="1250"/>
      <c r="CX55" s="1250"/>
      <c r="CY55" s="1250"/>
      <c r="CZ55" s="1250"/>
      <c r="DA55" s="1250"/>
      <c r="DB55" s="1250"/>
      <c r="DC55" s="1250"/>
      <c r="DD55" s="1250"/>
      <c r="DE55" s="1250"/>
      <c r="DF55" s="1250"/>
      <c r="DG55" s="1250"/>
      <c r="DI55" s="719"/>
      <c r="DJ55" s="719" t="str">
        <f t="shared" si="1"/>
        <v>Добавить централизованную систему для дифференциации</v>
      </c>
      <c r="DK55" s="719"/>
      <c r="DL55" s="719"/>
      <c r="DM55" s="454">
        <v>1</v>
      </c>
    </row>
    <row r="56" spans="1:117" s="1568" customFormat="1" ht="1.1499999999999999" customHeight="1">
      <c r="A56" s="1269" t="s">
        <v>193</v>
      </c>
      <c r="B56" s="1269"/>
      <c r="C56" s="1269"/>
      <c r="D56" s="1269"/>
      <c r="E56" s="5381"/>
      <c r="F56" s="1269"/>
      <c r="G56" s="1269"/>
      <c r="H56" s="1269"/>
      <c r="I56" s="1269"/>
      <c r="J56" s="1269"/>
      <c r="K56" s="1269"/>
      <c r="L56" s="1272"/>
      <c r="M56" s="1247"/>
      <c r="N56" s="1247"/>
      <c r="O56" s="454"/>
      <c r="P56" s="316"/>
      <c r="Q56" s="1270"/>
      <c r="R56" s="316"/>
      <c r="S56" s="1248"/>
      <c r="T56" s="1251" t="s">
        <v>165</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c r="CB56" s="1250"/>
      <c r="CC56" s="1250"/>
      <c r="CD56" s="1250"/>
      <c r="CE56" s="1250"/>
      <c r="CF56" s="1250"/>
      <c r="CG56" s="1250"/>
      <c r="CH56" s="1250"/>
      <c r="CI56" s="1250"/>
      <c r="CJ56" s="1250"/>
      <c r="CK56" s="1250"/>
      <c r="CL56" s="1250"/>
      <c r="CM56" s="1250"/>
      <c r="CN56" s="1250"/>
      <c r="CO56" s="1250"/>
      <c r="CP56" s="1250"/>
      <c r="CQ56" s="1250"/>
      <c r="CR56" s="1250"/>
      <c r="CS56" s="1250"/>
      <c r="CT56" s="1250"/>
      <c r="CU56" s="1250"/>
      <c r="CV56" s="1250"/>
      <c r="CW56" s="1250"/>
      <c r="CX56" s="1250"/>
      <c r="CY56" s="1250"/>
      <c r="CZ56" s="1250"/>
      <c r="DA56" s="1250"/>
      <c r="DB56" s="1250"/>
      <c r="DC56" s="1250"/>
      <c r="DD56" s="1250"/>
      <c r="DE56" s="1250"/>
      <c r="DF56" s="1250"/>
      <c r="DG56" s="1250"/>
      <c r="DI56" s="436"/>
      <c r="DJ56" s="436" t="str">
        <f t="shared" si="1"/>
        <v>Добавить территорию для дифференциации</v>
      </c>
      <c r="DK56" s="436"/>
      <c r="DL56" s="436"/>
      <c r="DM56" s="447">
        <v>1</v>
      </c>
    </row>
    <row r="57" spans="1:117"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182</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c r="CB57" s="1250"/>
      <c r="CC57" s="1250"/>
      <c r="CD57" s="1250"/>
      <c r="CE57" s="1250"/>
      <c r="CF57" s="1250"/>
      <c r="CG57" s="1250"/>
      <c r="CH57" s="1250"/>
      <c r="CI57" s="1250"/>
      <c r="CJ57" s="1250"/>
      <c r="CK57" s="1250"/>
      <c r="CL57" s="1250"/>
      <c r="CM57" s="1250"/>
      <c r="CN57" s="1250"/>
      <c r="CO57" s="1250"/>
      <c r="CP57" s="1250"/>
      <c r="CQ57" s="1250"/>
      <c r="CR57" s="1250"/>
      <c r="CS57" s="1250"/>
      <c r="CT57" s="1250"/>
      <c r="CU57" s="1250"/>
      <c r="CV57" s="1250"/>
      <c r="CW57" s="1250"/>
      <c r="CX57" s="1250"/>
      <c r="CY57" s="1250"/>
      <c r="CZ57" s="1250"/>
      <c r="DA57" s="1250"/>
      <c r="DB57" s="1250"/>
      <c r="DC57" s="1250"/>
      <c r="DD57" s="1250"/>
      <c r="DE57" s="1250"/>
      <c r="DF57" s="1250"/>
      <c r="DG57" s="1250"/>
      <c r="DI57" s="719"/>
      <c r="DJ57" s="719" t="str">
        <f t="shared" si="1"/>
        <v>Добавить наименование тарифа</v>
      </c>
      <c r="DK57" s="719"/>
      <c r="DL57" s="719"/>
      <c r="DM57" s="454">
        <v>1</v>
      </c>
    </row>
    <row r="58" spans="1:117" ht="11.45" customHeight="1">
      <c r="M58" s="1086"/>
      <c r="N58" s="1086"/>
      <c r="O58" s="473"/>
      <c r="P58" s="1081"/>
      <c r="Q58" s="1081"/>
      <c r="R58" s="1081"/>
      <c r="S58" s="1081"/>
      <c r="AL58" s="1561"/>
      <c r="AM58" s="1561"/>
      <c r="AN58" s="1561"/>
      <c r="AO58" s="1561"/>
      <c r="AP58" s="1561"/>
      <c r="AQ58" s="1561"/>
      <c r="AR58" s="1561"/>
      <c r="AS58" s="1561"/>
      <c r="AT58" s="1561"/>
      <c r="AU58" s="1561"/>
      <c r="AV58" s="1561"/>
      <c r="AW58" s="1561"/>
      <c r="AX58" s="1561"/>
      <c r="AY58" s="1561"/>
      <c r="AZ58" s="1561"/>
      <c r="BA58" s="1561"/>
      <c r="BB58" s="1561"/>
      <c r="BC58" s="1561"/>
      <c r="BD58" s="1561"/>
      <c r="BE58" s="1561"/>
      <c r="BF58" s="1561"/>
      <c r="BG58" s="1561"/>
      <c r="BH58" s="1561"/>
      <c r="BI58" s="1561"/>
      <c r="BJ58" s="1561"/>
      <c r="BK58" s="1561"/>
      <c r="BL58" s="1561"/>
      <c r="BM58" s="1561"/>
      <c r="BN58" s="1561"/>
      <c r="BO58" s="1561"/>
      <c r="BP58" s="1561"/>
      <c r="BQ58" s="1561"/>
      <c r="BR58" s="1561"/>
      <c r="BS58" s="1561"/>
      <c r="BT58" s="1561"/>
      <c r="BU58" s="1561"/>
      <c r="BV58" s="1561"/>
      <c r="BW58" s="1561"/>
      <c r="BX58" s="1561"/>
      <c r="BY58" s="1561"/>
      <c r="BZ58" s="1561"/>
      <c r="CA58" s="1561"/>
      <c r="CB58" s="1561"/>
      <c r="CC58" s="1561"/>
      <c r="CD58" s="1561"/>
      <c r="CE58" s="1561"/>
      <c r="CF58" s="1561"/>
      <c r="CG58" s="1561"/>
      <c r="CH58" s="1561"/>
      <c r="CI58" s="1561"/>
      <c r="CJ58" s="1561"/>
      <c r="CK58" s="1561"/>
      <c r="CL58" s="1561"/>
      <c r="CM58" s="1561"/>
      <c r="CN58" s="1561"/>
      <c r="CO58" s="1561"/>
      <c r="CP58" s="1561"/>
      <c r="CQ58" s="1561"/>
      <c r="CR58" s="1561"/>
      <c r="CS58" s="1561"/>
      <c r="CT58" s="1561"/>
      <c r="CU58" s="1561"/>
      <c r="CV58" s="1561"/>
      <c r="CW58" s="1561"/>
      <c r="CX58" s="1561"/>
      <c r="CY58" s="1561"/>
      <c r="CZ58" s="1561"/>
      <c r="DA58" s="1561"/>
      <c r="DB58" s="1561"/>
      <c r="DC58" s="1561"/>
      <c r="DD58" s="1561"/>
      <c r="DE58" s="5155"/>
      <c r="DH58" s="1081"/>
      <c r="DI58" s="1081"/>
      <c r="DJ58" s="1081"/>
      <c r="DK58" s="1081"/>
      <c r="DL58" s="1081"/>
      <c r="DM58" s="1081">
        <v>11</v>
      </c>
    </row>
    <row r="59" spans="1:117" ht="19.899999999999999" customHeight="1">
      <c r="O59" s="473"/>
      <c r="S59" s="1179"/>
      <c r="T59" s="5379"/>
      <c r="U59" s="5379"/>
      <c r="V59" s="5379"/>
      <c r="W59" s="5379"/>
      <c r="X59" s="5379"/>
      <c r="Y59" s="5379"/>
      <c r="Z59" s="5379"/>
      <c r="AA59" s="5379"/>
      <c r="AB59" s="5379"/>
      <c r="AC59" s="5379"/>
      <c r="AD59" s="5379"/>
      <c r="AE59" s="5379"/>
      <c r="AF59" s="5379"/>
      <c r="AG59" s="5379"/>
      <c r="AH59" s="5379"/>
      <c r="AI59" s="5379"/>
      <c r="AJ59" s="5379"/>
      <c r="AK59" s="5379"/>
      <c r="AL59" s="5379"/>
      <c r="AM59" s="5379"/>
      <c r="AN59" s="5379"/>
      <c r="AO59" s="5379"/>
      <c r="AP59" s="5379"/>
      <c r="AQ59" s="5379"/>
      <c r="AR59" s="5379"/>
      <c r="AS59" s="5379"/>
      <c r="AT59" s="5379"/>
      <c r="AU59" s="5379"/>
      <c r="AV59" s="5379"/>
      <c r="AW59" s="5379"/>
      <c r="AX59" s="5379"/>
      <c r="AY59" s="5379"/>
      <c r="AZ59" s="5379"/>
      <c r="BA59" s="5379"/>
      <c r="BB59" s="5379"/>
      <c r="BC59" s="5379"/>
      <c r="BD59" s="5379"/>
      <c r="BE59" s="5379"/>
      <c r="BF59" s="5379"/>
      <c r="BG59" s="5379"/>
      <c r="BH59" s="5379"/>
      <c r="BI59" s="5379"/>
      <c r="BJ59" s="5379"/>
      <c r="BK59" s="5379"/>
      <c r="BL59" s="5379"/>
      <c r="BM59" s="5379"/>
      <c r="BN59" s="5379"/>
      <c r="BO59" s="5379"/>
      <c r="BP59" s="5379"/>
      <c r="BQ59" s="5379"/>
      <c r="BR59" s="5379"/>
      <c r="BS59" s="5379"/>
      <c r="BT59" s="5379"/>
      <c r="BU59" s="5379"/>
      <c r="BV59" s="5379"/>
      <c r="BW59" s="5379"/>
      <c r="BX59" s="5379"/>
      <c r="BY59" s="5379"/>
      <c r="BZ59" s="5379"/>
      <c r="CA59" s="5379"/>
      <c r="CB59" s="5379"/>
      <c r="CC59" s="5379"/>
      <c r="CD59" s="5379"/>
      <c r="CE59" s="5379"/>
      <c r="CF59" s="5379"/>
      <c r="CG59" s="5379"/>
      <c r="CH59" s="5379"/>
      <c r="CI59" s="5379"/>
      <c r="CJ59" s="5379"/>
      <c r="CK59" s="5379"/>
      <c r="CL59" s="5379"/>
      <c r="CM59" s="5379"/>
      <c r="CN59" s="5379"/>
      <c r="CO59" s="5379"/>
      <c r="CP59" s="5379"/>
      <c r="CQ59" s="5379"/>
      <c r="CR59" s="5379"/>
      <c r="CS59" s="5379"/>
      <c r="CT59" s="5379"/>
      <c r="CU59" s="5379"/>
      <c r="CV59" s="5379"/>
      <c r="CW59" s="5379"/>
      <c r="CX59" s="5379"/>
      <c r="CY59" s="5379"/>
      <c r="CZ59" s="5379"/>
      <c r="DA59" s="5379"/>
      <c r="DB59" s="5379"/>
      <c r="DC59" s="5379"/>
      <c r="DD59" s="5379"/>
      <c r="DE59" s="5380"/>
      <c r="DF59" s="5379"/>
      <c r="DG59" s="5379"/>
      <c r="DM59" s="1081">
        <v>19</v>
      </c>
    </row>
    <row r="60" spans="1:117" ht="29.25" customHeight="1">
      <c r="O60" s="473"/>
      <c r="T60" s="5379"/>
      <c r="U60" s="5379"/>
      <c r="V60" s="5379"/>
      <c r="W60" s="5379"/>
      <c r="X60" s="5379"/>
      <c r="Y60" s="5379"/>
      <c r="Z60" s="5379"/>
      <c r="AA60" s="5379"/>
      <c r="AB60" s="5379"/>
      <c r="AC60" s="5379"/>
      <c r="AD60" s="5379"/>
      <c r="AE60" s="5379"/>
      <c r="AF60" s="5379"/>
      <c r="AG60" s="5379"/>
      <c r="AH60" s="5379"/>
      <c r="AI60" s="5379"/>
      <c r="AJ60" s="5379"/>
      <c r="AK60" s="5379"/>
      <c r="AL60" s="5379"/>
      <c r="AM60" s="5379"/>
      <c r="AN60" s="5379"/>
      <c r="AO60" s="5379"/>
      <c r="AP60" s="5379"/>
      <c r="AQ60" s="5379"/>
      <c r="AR60" s="5379"/>
      <c r="AS60" s="5379"/>
      <c r="AT60" s="5379"/>
      <c r="AU60" s="5379"/>
      <c r="AV60" s="5379"/>
      <c r="AW60" s="5379"/>
      <c r="AX60" s="5379"/>
      <c r="AY60" s="5379"/>
      <c r="AZ60" s="5379"/>
      <c r="BA60" s="5379"/>
      <c r="BB60" s="5379"/>
      <c r="BC60" s="5379"/>
      <c r="BD60" s="5379"/>
      <c r="BE60" s="5379"/>
      <c r="BF60" s="5379"/>
      <c r="BG60" s="5379"/>
      <c r="BH60" s="5379"/>
      <c r="BI60" s="5379"/>
      <c r="BJ60" s="5379"/>
      <c r="BK60" s="5379"/>
      <c r="BL60" s="5379"/>
      <c r="BM60" s="5379"/>
      <c r="BN60" s="5379"/>
      <c r="BO60" s="5379"/>
      <c r="BP60" s="5379"/>
      <c r="BQ60" s="5379"/>
      <c r="BR60" s="5379"/>
      <c r="BS60" s="5379"/>
      <c r="BT60" s="5379"/>
      <c r="BU60" s="5379"/>
      <c r="BV60" s="5379"/>
      <c r="BW60" s="5379"/>
      <c r="BX60" s="5379"/>
      <c r="BY60" s="5379"/>
      <c r="BZ60" s="5379"/>
      <c r="CA60" s="5379"/>
      <c r="CB60" s="5379"/>
      <c r="CC60" s="5379"/>
      <c r="CD60" s="5379"/>
      <c r="CE60" s="5379"/>
      <c r="CF60" s="5379"/>
      <c r="CG60" s="5379"/>
      <c r="CH60" s="5379"/>
      <c r="CI60" s="5379"/>
      <c r="CJ60" s="5379"/>
      <c r="CK60" s="5379"/>
      <c r="CL60" s="5379"/>
      <c r="CM60" s="5379"/>
      <c r="CN60" s="5379"/>
      <c r="CO60" s="5379"/>
      <c r="CP60" s="5379"/>
      <c r="CQ60" s="5379"/>
      <c r="CR60" s="5379"/>
      <c r="CS60" s="5379"/>
      <c r="CT60" s="5379"/>
      <c r="CU60" s="5379"/>
      <c r="CV60" s="5379"/>
      <c r="CW60" s="5379"/>
      <c r="CX60" s="5379"/>
      <c r="CY60" s="5379"/>
      <c r="CZ60" s="5379"/>
      <c r="DA60" s="5379"/>
      <c r="DB60" s="5379"/>
      <c r="DC60" s="5379"/>
      <c r="DD60" s="5379"/>
      <c r="DE60" s="5380"/>
      <c r="DF60" s="5379"/>
      <c r="DG60" s="5379"/>
      <c r="DM60" s="1081">
        <v>28</v>
      </c>
    </row>
    <row r="61" spans="1:117" ht="42" customHeight="1">
      <c r="O61" s="473"/>
      <c r="T61" s="5379"/>
      <c r="U61" s="5379"/>
      <c r="V61" s="5379"/>
      <c r="W61" s="5379"/>
      <c r="X61" s="5379"/>
      <c r="Y61" s="5379"/>
      <c r="Z61" s="5379"/>
      <c r="AA61" s="5379"/>
      <c r="AB61" s="5379"/>
      <c r="AC61" s="5379"/>
      <c r="AD61" s="5379"/>
      <c r="AE61" s="5379"/>
      <c r="AF61" s="5379"/>
      <c r="AG61" s="5379"/>
      <c r="AH61" s="5379"/>
      <c r="AI61" s="5379"/>
      <c r="AJ61" s="5379"/>
      <c r="AK61" s="5379"/>
      <c r="AL61" s="5379"/>
      <c r="AM61" s="5379"/>
      <c r="AN61" s="5379"/>
      <c r="AO61" s="5379"/>
      <c r="AP61" s="5379"/>
      <c r="AQ61" s="5379"/>
      <c r="AR61" s="5379"/>
      <c r="AS61" s="5379"/>
      <c r="AT61" s="5379"/>
      <c r="AU61" s="5379"/>
      <c r="AV61" s="5379"/>
      <c r="AW61" s="5379"/>
      <c r="AX61" s="5379"/>
      <c r="AY61" s="5379"/>
      <c r="AZ61" s="5379"/>
      <c r="BA61" s="5379"/>
      <c r="BB61" s="5379"/>
      <c r="BC61" s="5379"/>
      <c r="BD61" s="5379"/>
      <c r="BE61" s="5379"/>
      <c r="BF61" s="5379"/>
      <c r="BG61" s="5379"/>
      <c r="BH61" s="5379"/>
      <c r="BI61" s="5379"/>
      <c r="BJ61" s="5379"/>
      <c r="BK61" s="5379"/>
      <c r="BL61" s="5379"/>
      <c r="BM61" s="5379"/>
      <c r="BN61" s="5379"/>
      <c r="BO61" s="5379"/>
      <c r="BP61" s="5379"/>
      <c r="BQ61" s="5379"/>
      <c r="BR61" s="5379"/>
      <c r="BS61" s="5379"/>
      <c r="BT61" s="5379"/>
      <c r="BU61" s="5379"/>
      <c r="BV61" s="5379"/>
      <c r="BW61" s="5379"/>
      <c r="BX61" s="5379"/>
      <c r="BY61" s="5379"/>
      <c r="BZ61" s="5379"/>
      <c r="CA61" s="5379"/>
      <c r="CB61" s="5379"/>
      <c r="CC61" s="5379"/>
      <c r="CD61" s="5379"/>
      <c r="CE61" s="5379"/>
      <c r="CF61" s="5379"/>
      <c r="CG61" s="5379"/>
      <c r="CH61" s="5379"/>
      <c r="CI61" s="5379"/>
      <c r="CJ61" s="5379"/>
      <c r="CK61" s="5379"/>
      <c r="CL61" s="5379"/>
      <c r="CM61" s="5379"/>
      <c r="CN61" s="5379"/>
      <c r="CO61" s="5379"/>
      <c r="CP61" s="5379"/>
      <c r="CQ61" s="5379"/>
      <c r="CR61" s="5379"/>
      <c r="CS61" s="5379"/>
      <c r="CT61" s="5379"/>
      <c r="CU61" s="5379"/>
      <c r="CV61" s="5379"/>
      <c r="CW61" s="5379"/>
      <c r="CX61" s="5379"/>
      <c r="CY61" s="5379"/>
      <c r="CZ61" s="5379"/>
      <c r="DA61" s="5379"/>
      <c r="DB61" s="5379"/>
      <c r="DC61" s="5379"/>
      <c r="DD61" s="5379"/>
      <c r="DE61" s="5380"/>
      <c r="DF61" s="5379"/>
      <c r="DG61" s="5379"/>
      <c r="DM61" s="1081">
        <v>40</v>
      </c>
    </row>
    <row r="62" spans="1:117" ht="14.65" customHeight="1">
      <c r="O62" s="473"/>
      <c r="AL62" s="1561"/>
      <c r="AM62" s="1561"/>
      <c r="AN62" s="1561"/>
      <c r="AO62" s="1561"/>
      <c r="AP62" s="1561"/>
      <c r="AQ62" s="1561"/>
      <c r="AR62" s="1561"/>
      <c r="AS62" s="1561"/>
      <c r="AT62" s="1561"/>
      <c r="AU62" s="1561"/>
      <c r="AV62" s="1561"/>
      <c r="AW62" s="1561"/>
      <c r="AX62" s="1561"/>
      <c r="AY62" s="1561"/>
      <c r="AZ62" s="1561"/>
      <c r="BA62" s="1561"/>
      <c r="BB62" s="1561"/>
      <c r="BC62" s="1561"/>
      <c r="BD62" s="1561"/>
      <c r="BE62" s="1561"/>
      <c r="BF62" s="1561"/>
      <c r="BG62" s="1561"/>
      <c r="BH62" s="1561"/>
      <c r="BI62" s="1561"/>
      <c r="BJ62" s="1561"/>
      <c r="BK62" s="1561"/>
      <c r="BL62" s="1561"/>
      <c r="BM62" s="1561"/>
      <c r="BN62" s="1561"/>
      <c r="BO62" s="1561"/>
      <c r="BP62" s="1561"/>
      <c r="BQ62" s="1561"/>
      <c r="BR62" s="1561"/>
      <c r="BS62" s="1561"/>
      <c r="BT62" s="1561"/>
      <c r="BU62" s="1561"/>
      <c r="BV62" s="1561"/>
      <c r="BW62" s="1561"/>
      <c r="BX62" s="1561"/>
      <c r="BY62" s="1561"/>
      <c r="BZ62" s="1561"/>
      <c r="CA62" s="1561"/>
      <c r="CB62" s="1561"/>
      <c r="CC62" s="1561"/>
      <c r="CD62" s="1561"/>
      <c r="CE62" s="1561"/>
      <c r="CF62" s="1561"/>
      <c r="CG62" s="1561"/>
      <c r="CH62" s="1561"/>
      <c r="CI62" s="1561"/>
      <c r="CJ62" s="1561"/>
      <c r="CK62" s="1561"/>
      <c r="CL62" s="1561"/>
      <c r="CM62" s="1561"/>
      <c r="CN62" s="1561"/>
      <c r="CO62" s="1561"/>
      <c r="CP62" s="1561"/>
      <c r="CQ62" s="1561"/>
      <c r="CR62" s="1561"/>
      <c r="CS62" s="1561"/>
      <c r="CT62" s="1561"/>
      <c r="CU62" s="1561"/>
      <c r="CV62" s="1561"/>
      <c r="CW62" s="1561"/>
      <c r="CX62" s="1561"/>
      <c r="CY62" s="1561"/>
      <c r="CZ62" s="1561"/>
      <c r="DA62" s="1561"/>
      <c r="DB62" s="1561"/>
      <c r="DC62" s="1561"/>
      <c r="DD62" s="1561"/>
      <c r="DE62" s="5155"/>
      <c r="DM62" s="1081">
        <v>14</v>
      </c>
    </row>
    <row r="63" spans="1:117" ht="21" customHeight="1">
      <c r="O63" s="473"/>
      <c r="S63" s="1179"/>
      <c r="T63" s="5275"/>
      <c r="U63" s="5379"/>
      <c r="V63" s="5379"/>
      <c r="W63" s="5379"/>
      <c r="X63" s="5379"/>
      <c r="Y63" s="5379"/>
      <c r="Z63" s="5379"/>
      <c r="AA63" s="5379"/>
      <c r="AB63" s="5379"/>
      <c r="AC63" s="5379"/>
      <c r="AD63" s="5379"/>
      <c r="AE63" s="5379"/>
      <c r="AF63" s="5379"/>
      <c r="AG63" s="5379"/>
      <c r="AH63" s="5379"/>
      <c r="AI63" s="5379"/>
      <c r="AJ63" s="5379"/>
      <c r="AK63" s="5379"/>
      <c r="AL63" s="5379"/>
      <c r="AM63" s="5379"/>
      <c r="AN63" s="5379"/>
      <c r="AO63" s="5379"/>
      <c r="AP63" s="5379"/>
      <c r="AQ63" s="5379"/>
      <c r="AR63" s="5379"/>
      <c r="AS63" s="5379"/>
      <c r="AT63" s="5379"/>
      <c r="AU63" s="5379"/>
      <c r="AV63" s="5379"/>
      <c r="AW63" s="5379"/>
      <c r="AX63" s="5379"/>
      <c r="AY63" s="5379"/>
      <c r="AZ63" s="5379"/>
      <c r="BA63" s="5379"/>
      <c r="BB63" s="5379"/>
      <c r="BC63" s="5379"/>
      <c r="BD63" s="5379"/>
      <c r="BE63" s="5379"/>
      <c r="BF63" s="5379"/>
      <c r="BG63" s="5379"/>
      <c r="BH63" s="5379"/>
      <c r="BI63" s="5379"/>
      <c r="BJ63" s="5379"/>
      <c r="BK63" s="5379"/>
      <c r="BL63" s="5379"/>
      <c r="BM63" s="5379"/>
      <c r="BN63" s="5379"/>
      <c r="BO63" s="5379"/>
      <c r="BP63" s="5379"/>
      <c r="BQ63" s="5379"/>
      <c r="BR63" s="5379"/>
      <c r="BS63" s="5379"/>
      <c r="BT63" s="5379"/>
      <c r="BU63" s="5379"/>
      <c r="BV63" s="5379"/>
      <c r="BW63" s="5379"/>
      <c r="BX63" s="5379"/>
      <c r="BY63" s="5379"/>
      <c r="BZ63" s="5379"/>
      <c r="CA63" s="5379"/>
      <c r="CB63" s="5379"/>
      <c r="CC63" s="5379"/>
      <c r="CD63" s="5379"/>
      <c r="CE63" s="5379"/>
      <c r="CF63" s="5379"/>
      <c r="CG63" s="5379"/>
      <c r="CH63" s="5379"/>
      <c r="CI63" s="5379"/>
      <c r="CJ63" s="5379"/>
      <c r="CK63" s="5379"/>
      <c r="CL63" s="5379"/>
      <c r="CM63" s="5379"/>
      <c r="CN63" s="5379"/>
      <c r="CO63" s="5379"/>
      <c r="CP63" s="5379"/>
      <c r="CQ63" s="5379"/>
      <c r="CR63" s="5379"/>
      <c r="CS63" s="5379"/>
      <c r="CT63" s="5379"/>
      <c r="CU63" s="5379"/>
      <c r="CV63" s="5379"/>
      <c r="CW63" s="5379"/>
      <c r="CX63" s="5379"/>
      <c r="CY63" s="5379"/>
      <c r="CZ63" s="5379"/>
      <c r="DA63" s="5379"/>
      <c r="DB63" s="5379"/>
      <c r="DC63" s="5379"/>
      <c r="DD63" s="5379"/>
      <c r="DE63" s="5380"/>
      <c r="DF63" s="5379"/>
      <c r="DG63" s="5379"/>
      <c r="DM63" s="1081">
        <v>20</v>
      </c>
    </row>
    <row r="64" spans="1:117" ht="29.25" customHeight="1">
      <c r="O64" s="473"/>
      <c r="T64" s="5379"/>
      <c r="U64" s="5379"/>
      <c r="V64" s="5379"/>
      <c r="W64" s="5379"/>
      <c r="X64" s="5379"/>
      <c r="Y64" s="5379"/>
      <c r="Z64" s="5379"/>
      <c r="AA64" s="5379"/>
      <c r="AB64" s="5379"/>
      <c r="AC64" s="5379"/>
      <c r="AD64" s="5379"/>
      <c r="AE64" s="5379"/>
      <c r="AF64" s="5379"/>
      <c r="AG64" s="5379"/>
      <c r="AH64" s="5379"/>
      <c r="AI64" s="5379"/>
      <c r="AJ64" s="5379"/>
      <c r="AK64" s="5379"/>
      <c r="AL64" s="5379"/>
      <c r="AM64" s="5379"/>
      <c r="AN64" s="5379"/>
      <c r="AO64" s="5379"/>
      <c r="AP64" s="5379"/>
      <c r="AQ64" s="5379"/>
      <c r="AR64" s="5379"/>
      <c r="AS64" s="5379"/>
      <c r="AT64" s="5379"/>
      <c r="AU64" s="5379"/>
      <c r="AV64" s="5379"/>
      <c r="AW64" s="5379"/>
      <c r="AX64" s="5379"/>
      <c r="AY64" s="5379"/>
      <c r="AZ64" s="5379"/>
      <c r="BA64" s="5379"/>
      <c r="BB64" s="5379"/>
      <c r="BC64" s="5379"/>
      <c r="BD64" s="5379"/>
      <c r="BE64" s="5379"/>
      <c r="BF64" s="5379"/>
      <c r="BG64" s="5379"/>
      <c r="BH64" s="5379"/>
      <c r="BI64" s="5379"/>
      <c r="BJ64" s="5379"/>
      <c r="BK64" s="5379"/>
      <c r="BL64" s="5379"/>
      <c r="BM64" s="5379"/>
      <c r="BN64" s="5379"/>
      <c r="BO64" s="5379"/>
      <c r="BP64" s="5379"/>
      <c r="BQ64" s="5379"/>
      <c r="BR64" s="5379"/>
      <c r="BS64" s="5379"/>
      <c r="BT64" s="5379"/>
      <c r="BU64" s="5379"/>
      <c r="BV64" s="5379"/>
      <c r="BW64" s="5379"/>
      <c r="BX64" s="5379"/>
      <c r="BY64" s="5379"/>
      <c r="BZ64" s="5379"/>
      <c r="CA64" s="5379"/>
      <c r="CB64" s="5379"/>
      <c r="CC64" s="5379"/>
      <c r="CD64" s="5379"/>
      <c r="CE64" s="5379"/>
      <c r="CF64" s="5379"/>
      <c r="CG64" s="5379"/>
      <c r="CH64" s="5379"/>
      <c r="CI64" s="5379"/>
      <c r="CJ64" s="5379"/>
      <c r="CK64" s="5379"/>
      <c r="CL64" s="5379"/>
      <c r="CM64" s="5379"/>
      <c r="CN64" s="5379"/>
      <c r="CO64" s="5379"/>
      <c r="CP64" s="5379"/>
      <c r="CQ64" s="5379"/>
      <c r="CR64" s="5379"/>
      <c r="CS64" s="5379"/>
      <c r="CT64" s="5379"/>
      <c r="CU64" s="5379"/>
      <c r="CV64" s="5379"/>
      <c r="CW64" s="5379"/>
      <c r="CX64" s="5379"/>
      <c r="CY64" s="5379"/>
      <c r="CZ64" s="5379"/>
      <c r="DA64" s="5379"/>
      <c r="DB64" s="5379"/>
      <c r="DC64" s="5379"/>
      <c r="DD64" s="5379"/>
      <c r="DE64" s="5380"/>
      <c r="DF64" s="5379"/>
      <c r="DG64" s="5379"/>
      <c r="DM64" s="1081">
        <v>28</v>
      </c>
    </row>
    <row r="65" spans="1:117" ht="35.65" customHeight="1">
      <c r="T65" s="5379"/>
      <c r="U65" s="5379"/>
      <c r="V65" s="5379"/>
      <c r="W65" s="5379"/>
      <c r="X65" s="5379"/>
      <c r="Y65" s="5379"/>
      <c r="Z65" s="5379"/>
      <c r="AA65" s="5379"/>
      <c r="AB65" s="5379"/>
      <c r="AC65" s="5379"/>
      <c r="AD65" s="5379"/>
      <c r="AE65" s="5379"/>
      <c r="AF65" s="5379"/>
      <c r="AG65" s="5379"/>
      <c r="AH65" s="5379"/>
      <c r="AI65" s="5379"/>
      <c r="AJ65" s="5379"/>
      <c r="AK65" s="5379"/>
      <c r="AL65" s="5379"/>
      <c r="AM65" s="5379"/>
      <c r="AN65" s="5379"/>
      <c r="AO65" s="5379"/>
      <c r="AP65" s="5379"/>
      <c r="AQ65" s="5379"/>
      <c r="AR65" s="5379"/>
      <c r="AS65" s="5379"/>
      <c r="AT65" s="5379"/>
      <c r="AU65" s="5379"/>
      <c r="AV65" s="5379"/>
      <c r="AW65" s="5379"/>
      <c r="AX65" s="5379"/>
      <c r="AY65" s="5379"/>
      <c r="AZ65" s="5379"/>
      <c r="BA65" s="5379"/>
      <c r="BB65" s="5379"/>
      <c r="BC65" s="5379"/>
      <c r="BD65" s="5379"/>
      <c r="BE65" s="5379"/>
      <c r="BF65" s="5379"/>
      <c r="BG65" s="5379"/>
      <c r="BH65" s="5379"/>
      <c r="BI65" s="5379"/>
      <c r="BJ65" s="5379"/>
      <c r="BK65" s="5379"/>
      <c r="BL65" s="5379"/>
      <c r="BM65" s="5379"/>
      <c r="BN65" s="5379"/>
      <c r="BO65" s="5379"/>
      <c r="BP65" s="5379"/>
      <c r="BQ65" s="5379"/>
      <c r="BR65" s="5379"/>
      <c r="BS65" s="5379"/>
      <c r="BT65" s="5379"/>
      <c r="BU65" s="5379"/>
      <c r="BV65" s="5379"/>
      <c r="BW65" s="5379"/>
      <c r="BX65" s="5379"/>
      <c r="BY65" s="5379"/>
      <c r="BZ65" s="5379"/>
      <c r="CA65" s="5379"/>
      <c r="CB65" s="5379"/>
      <c r="CC65" s="5379"/>
      <c r="CD65" s="5379"/>
      <c r="CE65" s="5379"/>
      <c r="CF65" s="5379"/>
      <c r="CG65" s="5379"/>
      <c r="CH65" s="5379"/>
      <c r="CI65" s="5379"/>
      <c r="CJ65" s="5379"/>
      <c r="CK65" s="5379"/>
      <c r="CL65" s="5379"/>
      <c r="CM65" s="5379"/>
      <c r="CN65" s="5379"/>
      <c r="CO65" s="5379"/>
      <c r="CP65" s="5379"/>
      <c r="CQ65" s="5379"/>
      <c r="CR65" s="5379"/>
      <c r="CS65" s="5379"/>
      <c r="CT65" s="5379"/>
      <c r="CU65" s="5379"/>
      <c r="CV65" s="5379"/>
      <c r="CW65" s="5379"/>
      <c r="CX65" s="5379"/>
      <c r="CY65" s="5379"/>
      <c r="CZ65" s="5379"/>
      <c r="DA65" s="5379"/>
      <c r="DB65" s="5379"/>
      <c r="DC65" s="5379"/>
      <c r="DD65" s="5379"/>
      <c r="DE65" s="5380"/>
      <c r="DF65" s="5379"/>
      <c r="DG65" s="5379"/>
      <c r="DM65" s="1081">
        <v>34</v>
      </c>
    </row>
    <row r="66" spans="1:117"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561">
        <v>0</v>
      </c>
      <c r="AM66" s="1561">
        <v>0</v>
      </c>
      <c r="AN66" s="1561">
        <v>0</v>
      </c>
      <c r="AO66" s="1561">
        <v>0</v>
      </c>
      <c r="AP66" s="1561">
        <v>0</v>
      </c>
      <c r="AQ66" s="1561">
        <v>0</v>
      </c>
      <c r="AR66" s="1561">
        <v>0</v>
      </c>
      <c r="AS66" s="1561">
        <v>0</v>
      </c>
      <c r="AT66" s="1561">
        <v>0</v>
      </c>
      <c r="AU66" s="1561">
        <v>0</v>
      </c>
      <c r="AV66" s="1561">
        <v>0</v>
      </c>
      <c r="AW66" s="1561">
        <v>0</v>
      </c>
      <c r="AX66" s="1561">
        <v>0</v>
      </c>
      <c r="AY66" s="1561">
        <v>0</v>
      </c>
      <c r="AZ66" s="1561">
        <v>0</v>
      </c>
      <c r="BA66" s="1561">
        <v>0</v>
      </c>
      <c r="BB66" s="1561">
        <v>0</v>
      </c>
      <c r="BC66" s="1561">
        <v>0</v>
      </c>
      <c r="BD66" s="1561">
        <v>0</v>
      </c>
      <c r="BE66" s="1561">
        <v>0</v>
      </c>
      <c r="BF66" s="1561">
        <v>0</v>
      </c>
      <c r="BG66" s="1561">
        <v>0</v>
      </c>
      <c r="BH66" s="1561">
        <v>0</v>
      </c>
      <c r="BI66" s="1561">
        <v>0</v>
      </c>
      <c r="BJ66" s="1561">
        <v>0</v>
      </c>
      <c r="BK66" s="1561">
        <v>0</v>
      </c>
      <c r="BL66" s="1561">
        <v>0</v>
      </c>
      <c r="BM66" s="1561">
        <v>0</v>
      </c>
      <c r="BN66" s="1561">
        <v>0</v>
      </c>
      <c r="BO66" s="1561">
        <v>0</v>
      </c>
      <c r="BP66" s="1561">
        <v>0</v>
      </c>
      <c r="BQ66" s="1561">
        <v>0</v>
      </c>
      <c r="BR66" s="1561">
        <v>0</v>
      </c>
      <c r="BS66" s="1561">
        <v>0</v>
      </c>
      <c r="BT66" s="1561">
        <v>0</v>
      </c>
      <c r="BU66" s="1561">
        <v>0</v>
      </c>
      <c r="BV66" s="1561">
        <v>0</v>
      </c>
      <c r="BW66" s="1561">
        <v>0</v>
      </c>
      <c r="BX66" s="1561">
        <v>0</v>
      </c>
      <c r="BY66" s="1561">
        <v>0</v>
      </c>
      <c r="BZ66" s="1561">
        <v>0</v>
      </c>
      <c r="CA66" s="1561">
        <v>0</v>
      </c>
      <c r="CB66" s="1561">
        <v>0</v>
      </c>
      <c r="CC66" s="1561">
        <v>0</v>
      </c>
      <c r="CD66" s="1561">
        <v>0</v>
      </c>
      <c r="CE66" s="1561">
        <v>0</v>
      </c>
      <c r="CF66" s="1561">
        <v>0</v>
      </c>
      <c r="CG66" s="1561">
        <v>0</v>
      </c>
      <c r="CH66" s="1561">
        <v>0</v>
      </c>
      <c r="CI66" s="1561">
        <v>0</v>
      </c>
      <c r="CJ66" s="1561">
        <v>0</v>
      </c>
      <c r="CK66" s="1561">
        <v>0</v>
      </c>
      <c r="CL66" s="1561">
        <v>0</v>
      </c>
      <c r="CM66" s="1561">
        <v>0</v>
      </c>
      <c r="CN66" s="1561">
        <v>0</v>
      </c>
      <c r="CO66" s="1561">
        <v>0</v>
      </c>
      <c r="CP66" s="1561">
        <v>0</v>
      </c>
      <c r="CQ66" s="1561">
        <v>0</v>
      </c>
      <c r="CR66" s="1561">
        <v>0</v>
      </c>
      <c r="CS66" s="1561">
        <v>0</v>
      </c>
      <c r="CT66" s="1561">
        <v>0</v>
      </c>
      <c r="CU66" s="1561">
        <v>0</v>
      </c>
      <c r="CV66" s="1561">
        <v>0</v>
      </c>
      <c r="CW66" s="1561">
        <v>0</v>
      </c>
      <c r="CX66" s="1561">
        <v>0</v>
      </c>
      <c r="CY66" s="1561">
        <v>0</v>
      </c>
      <c r="CZ66" s="1561">
        <v>0</v>
      </c>
      <c r="DA66" s="1561">
        <v>0</v>
      </c>
      <c r="DB66" s="1561">
        <v>0</v>
      </c>
      <c r="DC66" s="1561">
        <v>0</v>
      </c>
      <c r="DD66" s="1561">
        <v>0</v>
      </c>
      <c r="DE66" s="5155">
        <v>0</v>
      </c>
      <c r="DF66" s="1081">
        <v>4</v>
      </c>
      <c r="DG66" s="1081">
        <v>115</v>
      </c>
      <c r="DH66" s="447">
        <v>10</v>
      </c>
      <c r="DI66" s="447">
        <v>10</v>
      </c>
      <c r="DJ66" s="447">
        <v>10</v>
      </c>
      <c r="DK66" s="447">
        <v>10</v>
      </c>
      <c r="DL66" s="447">
        <v>10</v>
      </c>
      <c r="DM66" s="1081">
        <v>23</v>
      </c>
    </row>
  </sheetData>
  <sheetProtection formatColumns="0" formatRows="0" insertRows="0" deleteColumns="0" deleteRows="0" sort="0" autoFilter="0"/>
  <mergeCells count="320">
    <mergeCell ref="CW49:CW50"/>
    <mergeCell ref="CX35:DD35"/>
    <mergeCell ref="CX34:DD34"/>
    <mergeCell ref="DB8:DB9"/>
    <mergeCell ref="DC8:DC9"/>
    <mergeCell ref="DD8:DD9"/>
    <mergeCell ref="DE8:DE9"/>
    <mergeCell ref="CX29:DD29"/>
    <mergeCell ref="CX30:DD30"/>
    <mergeCell ref="CX31:DD31"/>
    <mergeCell ref="CX32:DD32"/>
    <mergeCell ref="CX37:DE37"/>
    <mergeCell ref="CX39:DD39"/>
    <mergeCell ref="DE39:DE41"/>
    <mergeCell ref="CX40:CX41"/>
    <mergeCell ref="CY40:CY41"/>
    <mergeCell ref="CZ40:DA40"/>
    <mergeCell ref="DB40:DD40"/>
    <mergeCell ref="DC41:DD41"/>
    <mergeCell ref="DC42:DD42"/>
    <mergeCell ref="DB49:DB50"/>
    <mergeCell ref="DC49:DC50"/>
    <mergeCell ref="DD49:DD50"/>
    <mergeCell ref="DE49:DE50"/>
    <mergeCell ref="CW8:CW9"/>
    <mergeCell ref="CP29:CV29"/>
    <mergeCell ref="CP30:CV30"/>
    <mergeCell ref="CP31:CV31"/>
    <mergeCell ref="CP32:CV32"/>
    <mergeCell ref="CP37:CW37"/>
    <mergeCell ref="CP39:CV39"/>
    <mergeCell ref="CW39:CW41"/>
    <mergeCell ref="CP40:CP41"/>
    <mergeCell ref="CQ40:CQ41"/>
    <mergeCell ref="CR40:CS40"/>
    <mergeCell ref="CT40:CV40"/>
    <mergeCell ref="CU41:CV41"/>
    <mergeCell ref="CM42:CN42"/>
    <mergeCell ref="CL49:CL50"/>
    <mergeCell ref="CM49:CM50"/>
    <mergeCell ref="CN49:CN50"/>
    <mergeCell ref="CO49:CO50"/>
    <mergeCell ref="CP35:CV35"/>
    <mergeCell ref="CP34:CV34"/>
    <mergeCell ref="CT8:CT9"/>
    <mergeCell ref="CU8:CU9"/>
    <mergeCell ref="CV8:CV9"/>
    <mergeCell ref="CU42:CV42"/>
    <mergeCell ref="CT49:CT50"/>
    <mergeCell ref="CU49:CU50"/>
    <mergeCell ref="CV49:CV50"/>
    <mergeCell ref="CL8:CL9"/>
    <mergeCell ref="CM8:CM9"/>
    <mergeCell ref="CN8:CN9"/>
    <mergeCell ref="CO8:CO9"/>
    <mergeCell ref="CH29:CN29"/>
    <mergeCell ref="CH30:CN30"/>
    <mergeCell ref="CH31:CN31"/>
    <mergeCell ref="CH32:CN32"/>
    <mergeCell ref="CH37:CO37"/>
    <mergeCell ref="BY49:BY50"/>
    <mergeCell ref="BZ35:CF35"/>
    <mergeCell ref="BZ34:CF34"/>
    <mergeCell ref="CD8:CD9"/>
    <mergeCell ref="CE8:CE9"/>
    <mergeCell ref="CF8:CF9"/>
    <mergeCell ref="CG8:CG9"/>
    <mergeCell ref="BZ29:CF29"/>
    <mergeCell ref="BZ30:CF30"/>
    <mergeCell ref="BZ31:CF31"/>
    <mergeCell ref="BZ32:CF32"/>
    <mergeCell ref="BZ37:CG37"/>
    <mergeCell ref="BZ39:CF39"/>
    <mergeCell ref="CG39:CG41"/>
    <mergeCell ref="BZ40:BZ41"/>
    <mergeCell ref="CA40:CA41"/>
    <mergeCell ref="CB40:CC40"/>
    <mergeCell ref="CD40:CF40"/>
    <mergeCell ref="CE41:CF41"/>
    <mergeCell ref="CE42:CF42"/>
    <mergeCell ref="CD49:CD50"/>
    <mergeCell ref="CE49:CE50"/>
    <mergeCell ref="CF49:CF50"/>
    <mergeCell ref="CG49:CG50"/>
    <mergeCell ref="BY8:BY9"/>
    <mergeCell ref="BR29:BX29"/>
    <mergeCell ref="BR30:BX30"/>
    <mergeCell ref="BR31:BX31"/>
    <mergeCell ref="BR32:BX32"/>
    <mergeCell ref="BR37:BY37"/>
    <mergeCell ref="BR39:BX39"/>
    <mergeCell ref="BY39:BY41"/>
    <mergeCell ref="BR40:BR41"/>
    <mergeCell ref="BS40:BS41"/>
    <mergeCell ref="BT40:BU40"/>
    <mergeCell ref="BV40:BX40"/>
    <mergeCell ref="BW41:BX41"/>
    <mergeCell ref="BN49:BN50"/>
    <mergeCell ref="BO49:BO50"/>
    <mergeCell ref="BP49:BP50"/>
    <mergeCell ref="BQ49:BQ50"/>
    <mergeCell ref="BR35:BX35"/>
    <mergeCell ref="BR34:BX34"/>
    <mergeCell ref="BV8:BV9"/>
    <mergeCell ref="BW8:BW9"/>
    <mergeCell ref="BX8:BX9"/>
    <mergeCell ref="BW42:BX42"/>
    <mergeCell ref="BV49:BV50"/>
    <mergeCell ref="BW49:BW50"/>
    <mergeCell ref="BX49:BX50"/>
    <mergeCell ref="BN8:BN9"/>
    <mergeCell ref="BO8:BO9"/>
    <mergeCell ref="BP8:BP9"/>
    <mergeCell ref="BQ8:BQ9"/>
    <mergeCell ref="BJ29:BP29"/>
    <mergeCell ref="BJ30:BP30"/>
    <mergeCell ref="BJ31:BP31"/>
    <mergeCell ref="BJ32:BP32"/>
    <mergeCell ref="BJ37:BQ37"/>
    <mergeCell ref="BA49:BA50"/>
    <mergeCell ref="BB35:BH35"/>
    <mergeCell ref="BB34:BH34"/>
    <mergeCell ref="BF8:BF9"/>
    <mergeCell ref="BG8:BG9"/>
    <mergeCell ref="BH8:BH9"/>
    <mergeCell ref="BI8:BI9"/>
    <mergeCell ref="BB29:BH29"/>
    <mergeCell ref="BB30:BH30"/>
    <mergeCell ref="BB31:BH31"/>
    <mergeCell ref="BB32:BH32"/>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A8:BA9"/>
    <mergeCell ref="AT29:AZ29"/>
    <mergeCell ref="AT30:AZ30"/>
    <mergeCell ref="AT31:AZ31"/>
    <mergeCell ref="AT32:AZ32"/>
    <mergeCell ref="AT37:BA37"/>
    <mergeCell ref="AT39:AZ39"/>
    <mergeCell ref="BA39:BA41"/>
    <mergeCell ref="AT40:AT41"/>
    <mergeCell ref="AU40:AU41"/>
    <mergeCell ref="AV40:AW40"/>
    <mergeCell ref="AX40:AZ40"/>
    <mergeCell ref="AY41:AZ41"/>
    <mergeCell ref="AP49:AP50"/>
    <mergeCell ref="AQ49:AQ50"/>
    <mergeCell ref="AR49:AR50"/>
    <mergeCell ref="AS49:AS50"/>
    <mergeCell ref="AT35:AZ35"/>
    <mergeCell ref="AT34:AZ34"/>
    <mergeCell ref="AX8:AX9"/>
    <mergeCell ref="AY8:AY9"/>
    <mergeCell ref="AZ8:AZ9"/>
    <mergeCell ref="AY42:AZ42"/>
    <mergeCell ref="AX49:AX50"/>
    <mergeCell ref="AY49:AY50"/>
    <mergeCell ref="AZ49:AZ50"/>
    <mergeCell ref="AL30:AR30"/>
    <mergeCell ref="AL31:AR31"/>
    <mergeCell ref="AL32:AR32"/>
    <mergeCell ref="AL37:AS37"/>
    <mergeCell ref="AL39:AR39"/>
    <mergeCell ref="AS39:AS41"/>
    <mergeCell ref="AL40:AL41"/>
    <mergeCell ref="AM40:AM41"/>
    <mergeCell ref="AN40:AO40"/>
    <mergeCell ref="AP40:AR40"/>
    <mergeCell ref="AQ41:AR41"/>
    <mergeCell ref="V47:AC47"/>
    <mergeCell ref="AD47:DF47"/>
    <mergeCell ref="AD31:AJ31"/>
    <mergeCell ref="AD32:AJ32"/>
    <mergeCell ref="AE40:AE41"/>
    <mergeCell ref="AF40:AG40"/>
    <mergeCell ref="AH40:AJ40"/>
    <mergeCell ref="AI41:AJ41"/>
    <mergeCell ref="AD37:AK37"/>
    <mergeCell ref="AL35:AR35"/>
    <mergeCell ref="AL34:AR34"/>
    <mergeCell ref="AQ42:AR42"/>
    <mergeCell ref="BJ35:BP35"/>
    <mergeCell ref="BJ34:BP34"/>
    <mergeCell ref="BJ39:BP39"/>
    <mergeCell ref="BQ39:BQ41"/>
    <mergeCell ref="BJ40:BJ41"/>
    <mergeCell ref="BK40:BK41"/>
    <mergeCell ref="BL40:BM40"/>
    <mergeCell ref="BN40:BP40"/>
    <mergeCell ref="BO41:BP41"/>
    <mergeCell ref="BO42:BP42"/>
    <mergeCell ref="CH35:CN35"/>
    <mergeCell ref="CH34:CN34"/>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DF38"/>
    <mergeCell ref="S26:AJ26"/>
    <mergeCell ref="S27:AJ27"/>
    <mergeCell ref="AC49:AC50"/>
    <mergeCell ref="AA49:AA50"/>
    <mergeCell ref="AB49:AB50"/>
    <mergeCell ref="AH49:AH50"/>
    <mergeCell ref="AI49:AI50"/>
    <mergeCell ref="DG8:DG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CH39:CN39"/>
    <mergeCell ref="CO39:CO41"/>
    <mergeCell ref="CH40:CH41"/>
    <mergeCell ref="CI40:CI41"/>
    <mergeCell ref="CJ40:CK40"/>
    <mergeCell ref="CL40:CN40"/>
    <mergeCell ref="CM41:CN41"/>
    <mergeCell ref="DG49:DG51"/>
    <mergeCell ref="T59:DG59"/>
    <mergeCell ref="T60:DG60"/>
    <mergeCell ref="AA42:AB42"/>
    <mergeCell ref="AI42:AJ42"/>
    <mergeCell ref="E43:E56"/>
    <mergeCell ref="V43:AC43"/>
    <mergeCell ref="AD43:DF43"/>
    <mergeCell ref="F44:F55"/>
    <mergeCell ref="V44:AC44"/>
    <mergeCell ref="AD44:DF44"/>
    <mergeCell ref="G45:G54"/>
    <mergeCell ref="V45:AC45"/>
    <mergeCell ref="AD45:DF45"/>
    <mergeCell ref="H46:H53"/>
    <mergeCell ref="V46:AC46"/>
    <mergeCell ref="AD46:DF46"/>
    <mergeCell ref="P47:P52"/>
    <mergeCell ref="J48:J51"/>
    <mergeCell ref="Q48:Q51"/>
    <mergeCell ref="V48:AC48"/>
    <mergeCell ref="AD48:DF48"/>
    <mergeCell ref="K49:K50"/>
    <mergeCell ref="Z49:Z50"/>
    <mergeCell ref="T64:DG64"/>
    <mergeCell ref="T65:DG65"/>
    <mergeCell ref="S35:T35"/>
    <mergeCell ref="V35:AB35"/>
    <mergeCell ref="AD35:AJ35"/>
    <mergeCell ref="S34:T34"/>
    <mergeCell ref="V34:AB34"/>
    <mergeCell ref="AD34:AJ34"/>
    <mergeCell ref="V2:AC2"/>
    <mergeCell ref="AD2:DF2"/>
    <mergeCell ref="V3:AC3"/>
    <mergeCell ref="AD3:DF3"/>
    <mergeCell ref="V4:AC4"/>
    <mergeCell ref="AD4:DF4"/>
    <mergeCell ref="V5:AC5"/>
    <mergeCell ref="AD5:DF5"/>
    <mergeCell ref="V6:AC6"/>
    <mergeCell ref="AD6:DF6"/>
    <mergeCell ref="V7:AC7"/>
    <mergeCell ref="AD7:DF7"/>
    <mergeCell ref="T63:DG63"/>
    <mergeCell ref="T61:DG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CC9 CC50 CK9 CK50 CS9 CS50 DA9 DA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DE393265 AK49 AQ49 AS49 AY49 BA49 BG49 BI49 BO49 BQ49 BW49 BY49 CE49 CG49 CM49 CO49 CU49 CW49 DC49 DE49 AK524337:DE524337 AK8 AQ8 AS8 AY8 BA8 BG8 BI8 BO8 BQ8 BW8 BY8 CE8 CG8 CM8 CO8 CU8 CW8 DC8 DE8 AK589873:DE589873 AK655409:DE655409 AK17 AK720945:DE720945 AK786481:DE786481 AK852017:DE852017 AK917553:DE917553 AK983089:DE983089 AK65585:DE65585 AK131121:DE131121 AK458801:DE458801 AI49 AK196657:DE196657 AI8 AC8 AA8 AI17 AK262193:DE262193 AA49 AC49 AK327729:DE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B8 DD8 DB49 DD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DG65579:DG65586 DG131115:DG131122 DG196651:DG196658 DG262187:DG262194 DG327723:DG327730 DG393259:DG393266 DG458795:DG458802 DG524331:DG524338 DG589867:DG589874 DG655403:DG655410 DG720939:DG720946 DG786475:DG786482 DG852011:DG852018 DG917547:DG917554 DG983083:DG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DF983088 V65584:DF65584 V131120:DF131120 V196656:DF196656 V262192:DF262192 V327728:DF327728 V393264:DF393264 V458800:DF458800 V524336:DF524336 V589872:DF589872 V655408:DF655408 V720944:DF720944 V786480:DF786480 V852016:DF852016 V917552:DF917552">
      <formula1>kind_of_cons</formula1>
    </dataValidation>
    <dataValidation allowBlank="1" sqref="S131123:DG131129 S196659:DG196665 S262195:DG262201 S327731:DG327737 S393267:DG393273 S458803:DG458809 S524339:DG524345 S589875:DG589881 S655411:DG655417 S720947:DG720953 S786483:DG786489 S852019:DG852025 S917555:DG917561 S983091:DG983097 S65587:DG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1" hidden="1" customWidth="1"/>
    <col min="15" max="15" width="23.42578125" style="1701"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5381">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5373"/>
      <c r="W2" s="5374"/>
      <c r="X2" s="5374"/>
      <c r="Y2" s="5374"/>
      <c r="Z2" s="5374"/>
      <c r="AA2" s="5374"/>
      <c r="AB2" s="5374"/>
      <c r="AC2" s="5375"/>
      <c r="AD2" s="5373" t="e">
        <f>INDEX(PT_DIFFERENTIATION_NTAR,MATCH(A2,PT_DIFFERENTIATION_NTAR_ID,0))</f>
        <v>#N/A</v>
      </c>
      <c r="AE2" s="5374"/>
      <c r="AF2" s="5374"/>
      <c r="AG2" s="5374"/>
      <c r="AH2" s="5374"/>
      <c r="AI2" s="5374"/>
      <c r="AJ2" s="5374"/>
      <c r="AK2" s="5374"/>
      <c r="AL2" s="5375"/>
      <c r="AM2" s="1184" t="s">
        <v>423</v>
      </c>
      <c r="AO2" s="436"/>
      <c r="AP2" s="436" t="str">
        <f t="shared" ref="AP2:AP15" si="0">IF(T2="","",T2)</f>
        <v>Наименование тарифа</v>
      </c>
      <c r="AQ2" s="436"/>
      <c r="AR2" s="436"/>
      <c r="AS2" s="1081">
        <v>0</v>
      </c>
    </row>
    <row r="3" spans="1:45" ht="21" hidden="1" customHeight="1">
      <c r="A3" s="1289"/>
      <c r="B3" s="1289"/>
      <c r="C3" s="1289"/>
      <c r="D3" s="1289"/>
      <c r="E3" s="5382"/>
      <c r="F3" s="5381">
        <v>1</v>
      </c>
      <c r="G3" s="1289"/>
      <c r="H3" s="1289"/>
      <c r="I3" s="1289"/>
      <c r="J3" s="1289"/>
      <c r="K3" s="1289"/>
      <c r="L3" s="1290"/>
      <c r="M3" s="1291"/>
      <c r="N3" s="1291"/>
      <c r="O3" s="1291"/>
      <c r="P3" s="1258"/>
      <c r="Q3" s="288"/>
      <c r="R3" s="289"/>
      <c r="S3" s="1262" t="e">
        <f>INDEX(PT_DIFFERENTIATION_NUM_TER,MATCH(B3,PT_DIFFERENTIATION_TER_ID,0))</f>
        <v>#N/A</v>
      </c>
      <c r="T3" s="245" t="s">
        <v>424</v>
      </c>
      <c r="U3" s="237"/>
      <c r="V3" s="5373"/>
      <c r="W3" s="5374"/>
      <c r="X3" s="5374"/>
      <c r="Y3" s="5374"/>
      <c r="Z3" s="5374"/>
      <c r="AA3" s="5374"/>
      <c r="AB3" s="5374"/>
      <c r="AC3" s="5375"/>
      <c r="AD3" s="5373" t="e">
        <f>INDEX(PT_DIFFERENTIATION_TER,MATCH(B3,PT_DIFFERENTIATION_TER_ID,0))</f>
        <v>#N/A</v>
      </c>
      <c r="AE3" s="5374"/>
      <c r="AF3" s="5374"/>
      <c r="AG3" s="5374"/>
      <c r="AH3" s="5374"/>
      <c r="AI3" s="5374"/>
      <c r="AJ3" s="5374"/>
      <c r="AK3" s="5374"/>
      <c r="AL3" s="5375"/>
      <c r="AM3" s="1184" t="s">
        <v>425</v>
      </c>
      <c r="AO3" s="436"/>
      <c r="AP3" s="436" t="str">
        <f t="shared" si="0"/>
        <v>Территория действия тарифа</v>
      </c>
      <c r="AQ3" s="436"/>
      <c r="AR3" s="436"/>
      <c r="AS3" s="1081">
        <v>0</v>
      </c>
    </row>
    <row r="4" spans="1:45" ht="23.25" hidden="1" customHeight="1">
      <c r="A4" s="1289"/>
      <c r="B4" s="1289"/>
      <c r="C4" s="1289"/>
      <c r="D4" s="1289"/>
      <c r="E4" s="5382"/>
      <c r="F4" s="5382"/>
      <c r="G4" s="5381">
        <v>1</v>
      </c>
      <c r="H4" s="1289"/>
      <c r="I4" s="1289"/>
      <c r="J4" s="1289"/>
      <c r="K4" s="1289"/>
      <c r="L4" s="1290"/>
      <c r="M4" s="1291"/>
      <c r="N4" s="1291"/>
      <c r="O4" s="1291"/>
      <c r="P4" s="290"/>
      <c r="Q4" s="288"/>
      <c r="R4" s="289"/>
      <c r="S4" s="1929" t="e">
        <f>INDEX(PT_DIFFERENTIATION_NUM_CS,MATCH(C4,PT_DIFFERENTIATION_CS_ID,0))</f>
        <v>#N/A</v>
      </c>
      <c r="T4" s="1933" t="s">
        <v>426</v>
      </c>
      <c r="U4" s="1934"/>
      <c r="V4" s="5426"/>
      <c r="W4" s="5427"/>
      <c r="X4" s="5427"/>
      <c r="Y4" s="5427"/>
      <c r="Z4" s="5427"/>
      <c r="AA4" s="5427"/>
      <c r="AB4" s="5427"/>
      <c r="AC4" s="5428"/>
      <c r="AD4" s="5426" t="e">
        <f>INDEX(PT_DIFFERENTIATION_CS,MATCH(C4,PT_DIFFERENTIATION_CS_ID,0))</f>
        <v>#N/A</v>
      </c>
      <c r="AE4" s="5427"/>
      <c r="AF4" s="5427"/>
      <c r="AG4" s="5427"/>
      <c r="AH4" s="5427"/>
      <c r="AI4" s="5427"/>
      <c r="AJ4" s="5427"/>
      <c r="AK4" s="5427"/>
      <c r="AL4" s="5428"/>
      <c r="AM4" s="1184" t="s">
        <v>427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5382"/>
      <c r="F5" s="5382"/>
      <c r="G5" s="5382"/>
      <c r="H5" s="5381">
        <v>1</v>
      </c>
      <c r="I5" s="1289"/>
      <c r="J5" s="1289"/>
      <c r="K5" s="1289"/>
      <c r="L5" s="1290"/>
      <c r="M5" s="1291"/>
      <c r="N5" s="1291"/>
      <c r="O5" s="1291"/>
      <c r="P5" s="290"/>
      <c r="Q5" s="288"/>
      <c r="R5" s="1561"/>
      <c r="S5" s="1928" t="e">
        <f>INDEX(PT_DIFFERENTIATION_NUM_IST_TE,MATCH(D5,PT_DIFFERENTIATION_IST_TE_ID,0))</f>
        <v>#N/A</v>
      </c>
      <c r="T5" s="247" t="s">
        <v>428</v>
      </c>
      <c r="U5" s="237"/>
      <c r="V5" s="5429"/>
      <c r="W5" s="5429"/>
      <c r="X5" s="5429"/>
      <c r="Y5" s="5429"/>
      <c r="Z5" s="5429"/>
      <c r="AA5" s="5429"/>
      <c r="AB5" s="5429"/>
      <c r="AC5" s="5429"/>
      <c r="AD5" s="5429" t="e">
        <f>INDEX(PT_DIFFERENTIATION_IST_TE,MATCH(D5,PT_DIFFERENTIATION_IST_TE_ID,0))</f>
        <v>#N/A</v>
      </c>
      <c r="AE5" s="5429"/>
      <c r="AF5" s="5429"/>
      <c r="AG5" s="5429"/>
      <c r="AH5" s="5429"/>
      <c r="AI5" s="5429"/>
      <c r="AJ5" s="5429"/>
      <c r="AK5" s="5429"/>
      <c r="AL5" s="5429"/>
      <c r="AM5" s="1931" t="s">
        <v>429</v>
      </c>
      <c r="AO5" s="436"/>
      <c r="AP5" s="436" t="str">
        <f t="shared" si="0"/>
        <v xml:space="preserve">Источник тепловой энергии  </v>
      </c>
      <c r="AQ5" s="436"/>
      <c r="AR5" s="436"/>
      <c r="AS5" s="1081">
        <v>0</v>
      </c>
    </row>
    <row r="6" spans="1:45" ht="0.75" hidden="1" customHeight="1">
      <c r="A6" s="1289"/>
      <c r="B6" s="1289"/>
      <c r="C6" s="1289"/>
      <c r="D6" s="1289"/>
      <c r="E6" s="5382"/>
      <c r="F6" s="5382"/>
      <c r="G6" s="5382"/>
      <c r="H6" s="5382"/>
      <c r="I6" s="5383" t="e">
        <f>S5&amp;".1"</f>
        <v>#N/A</v>
      </c>
      <c r="J6" s="1289"/>
      <c r="K6" s="1289"/>
      <c r="L6" s="1290" t="s">
        <v>430</v>
      </c>
      <c r="M6" s="473"/>
      <c r="P6" s="5385">
        <v>1</v>
      </c>
      <c r="Q6" s="1257"/>
      <c r="R6" s="1927"/>
      <c r="S6" s="971"/>
      <c r="T6" s="1309"/>
      <c r="U6" s="1310"/>
      <c r="V6" s="5430"/>
      <c r="W6" s="5430"/>
      <c r="X6" s="5430"/>
      <c r="Y6" s="5430"/>
      <c r="Z6" s="5430"/>
      <c r="AA6" s="5430"/>
      <c r="AB6" s="5430"/>
      <c r="AC6" s="5430"/>
      <c r="AD6" s="5430"/>
      <c r="AE6" s="5430"/>
      <c r="AF6" s="5430"/>
      <c r="AG6" s="5430"/>
      <c r="AH6" s="5430"/>
      <c r="AI6" s="5430"/>
      <c r="AJ6" s="5430"/>
      <c r="AK6" s="5430"/>
      <c r="AL6" s="5430"/>
      <c r="AM6" s="1932"/>
      <c r="AO6" s="436"/>
      <c r="AP6" s="436" t="str">
        <f t="shared" si="0"/>
        <v/>
      </c>
      <c r="AQ6" s="436"/>
      <c r="AR6" s="436"/>
      <c r="AS6" s="1081">
        <v>0</v>
      </c>
    </row>
    <row r="7" spans="1:45" ht="84" hidden="1" customHeight="1">
      <c r="A7" s="1289"/>
      <c r="B7" s="1289"/>
      <c r="C7" s="1289"/>
      <c r="D7" s="1289"/>
      <c r="E7" s="5382"/>
      <c r="F7" s="5382"/>
      <c r="G7" s="5382"/>
      <c r="H7" s="5382"/>
      <c r="I7" s="5384"/>
      <c r="J7" s="5383" t="e">
        <f>I6&amp;".1"</f>
        <v>#N/A</v>
      </c>
      <c r="K7" s="1289"/>
      <c r="L7" s="1290" t="s">
        <v>433</v>
      </c>
      <c r="M7" s="473"/>
      <c r="N7" s="1292"/>
      <c r="P7" s="5385"/>
      <c r="Q7" s="5385">
        <v>1</v>
      </c>
      <c r="R7" s="1568"/>
      <c r="S7" s="1928" t="e">
        <f>$J7</f>
        <v>#N/A</v>
      </c>
      <c r="T7" s="223" t="s">
        <v>434</v>
      </c>
      <c r="U7" s="237"/>
      <c r="V7" s="5424"/>
      <c r="W7" s="5424"/>
      <c r="X7" s="5424"/>
      <c r="Y7" s="5424"/>
      <c r="Z7" s="5424"/>
      <c r="AA7" s="5424"/>
      <c r="AB7" s="5424"/>
      <c r="AC7" s="5424"/>
      <c r="AD7" s="5424"/>
      <c r="AE7" s="5424"/>
      <c r="AF7" s="5424"/>
      <c r="AG7" s="5424"/>
      <c r="AH7" s="5424"/>
      <c r="AI7" s="5424"/>
      <c r="AJ7" s="5424"/>
      <c r="AK7" s="5424"/>
      <c r="AL7" s="5424"/>
      <c r="AM7" s="1931" t="s">
        <v>435</v>
      </c>
      <c r="AO7" s="436"/>
      <c r="AP7" s="436" t="str">
        <f t="shared" si="0"/>
        <v>Группа потребителей</v>
      </c>
      <c r="AQ7" s="436"/>
      <c r="AR7" s="436"/>
      <c r="AS7" s="1081">
        <v>0</v>
      </c>
    </row>
    <row r="8" spans="1:45" ht="11.25" hidden="1" customHeight="1">
      <c r="A8" s="1289"/>
      <c r="B8" s="1289"/>
      <c r="C8" s="1289"/>
      <c r="D8" s="1289"/>
      <c r="E8" s="5382"/>
      <c r="F8" s="5382"/>
      <c r="G8" s="5382"/>
      <c r="H8" s="5382"/>
      <c r="I8" s="5384"/>
      <c r="J8" s="5384"/>
      <c r="K8" s="5383" t="e">
        <f>J7&amp;".1"</f>
        <v>#N/A</v>
      </c>
      <c r="L8" s="1290" t="s">
        <v>436</v>
      </c>
      <c r="M8" s="473"/>
      <c r="N8" s="1292"/>
      <c r="O8" s="1292"/>
      <c r="P8" s="5385"/>
      <c r="Q8" s="5385"/>
      <c r="R8" s="293">
        <v>1</v>
      </c>
      <c r="S8" s="1930" t="e">
        <f>$K8</f>
        <v>#N/A</v>
      </c>
      <c r="T8" s="1935"/>
      <c r="U8" s="1936"/>
      <c r="V8" s="1937"/>
      <c r="W8" s="1275"/>
      <c r="X8" s="1937"/>
      <c r="Y8" s="1938"/>
      <c r="Z8" s="5425"/>
      <c r="AA8" s="5250" t="s">
        <v>65</v>
      </c>
      <c r="AB8" s="5425"/>
      <c r="AC8" s="5250" t="s">
        <v>65</v>
      </c>
      <c r="AD8" s="1937"/>
      <c r="AE8" s="1275"/>
      <c r="AF8" s="1937"/>
      <c r="AG8" s="1938"/>
      <c r="AH8" s="5425"/>
      <c r="AI8" s="5250" t="s">
        <v>65</v>
      </c>
      <c r="AJ8" s="5425"/>
      <c r="AK8" s="5250" t="s">
        <v>65</v>
      </c>
      <c r="AL8" s="1275"/>
      <c r="AM8" s="5405" t="s">
        <v>437</v>
      </c>
      <c r="AN8" s="447" t="e">
        <f ca="1">STRCHECKDATE(V9:AL9)</f>
        <v>#NAME?</v>
      </c>
      <c r="AO8" s="436"/>
      <c r="AP8" s="436" t="str">
        <f t="shared" si="0"/>
        <v/>
      </c>
      <c r="AQ8" s="436"/>
      <c r="AR8" s="436"/>
      <c r="AS8" s="1081">
        <v>0</v>
      </c>
    </row>
    <row r="9" spans="1:45" ht="0.75" hidden="1" customHeight="1">
      <c r="A9" s="1289"/>
      <c r="B9" s="1289"/>
      <c r="C9" s="1289"/>
      <c r="D9" s="1289"/>
      <c r="E9" s="5382"/>
      <c r="F9" s="5382"/>
      <c r="G9" s="5382"/>
      <c r="H9" s="5382"/>
      <c r="I9" s="5384"/>
      <c r="J9" s="5384"/>
      <c r="K9" s="5383"/>
      <c r="L9" s="1290"/>
      <c r="M9" s="473"/>
      <c r="N9" s="1292"/>
      <c r="O9" s="1292"/>
      <c r="P9" s="5385"/>
      <c r="Q9" s="5385"/>
      <c r="R9" s="293"/>
      <c r="S9" s="1268"/>
      <c r="T9" s="237"/>
      <c r="U9" s="237"/>
      <c r="V9" s="262"/>
      <c r="W9" s="262"/>
      <c r="X9" s="262"/>
      <c r="Y9" s="265" t="str">
        <f>Z8&amp;"-"&amp;AB8</f>
        <v>-</v>
      </c>
      <c r="Z9" s="5387"/>
      <c r="AA9" s="5245"/>
      <c r="AB9" s="5387"/>
      <c r="AC9" s="5245"/>
      <c r="AD9" s="262"/>
      <c r="AE9" s="262"/>
      <c r="AF9" s="262"/>
      <c r="AG9" s="265" t="str">
        <f>AH8&amp;"-"&amp;AJ8</f>
        <v>-</v>
      </c>
      <c r="AH9" s="5387"/>
      <c r="AI9" s="5245"/>
      <c r="AJ9" s="5387"/>
      <c r="AK9" s="5245"/>
      <c r="AL9" s="262"/>
      <c r="AM9" s="5406"/>
      <c r="AO9" s="436"/>
      <c r="AP9" s="436" t="str">
        <f t="shared" si="0"/>
        <v/>
      </c>
      <c r="AQ9" s="436"/>
      <c r="AR9" s="436"/>
      <c r="AS9" s="1081">
        <v>0</v>
      </c>
    </row>
    <row r="10" spans="1:45" ht="11.25" hidden="1" customHeight="1">
      <c r="A10" s="1289"/>
      <c r="B10" s="1289"/>
      <c r="C10" s="1289"/>
      <c r="D10" s="1289"/>
      <c r="E10" s="5382"/>
      <c r="F10" s="5382"/>
      <c r="G10" s="5382"/>
      <c r="H10" s="5382"/>
      <c r="I10" s="5384"/>
      <c r="J10" s="5383"/>
      <c r="K10" s="1289"/>
      <c r="L10" s="1290"/>
      <c r="M10" s="473"/>
      <c r="N10" s="1292"/>
      <c r="P10" s="5385"/>
      <c r="Q10" s="5385"/>
      <c r="R10" s="292"/>
      <c r="S10" s="1204"/>
      <c r="T10" s="224" t="s">
        <v>438</v>
      </c>
      <c r="U10" s="303"/>
      <c r="V10" s="303"/>
      <c r="W10" s="303"/>
      <c r="X10" s="303"/>
      <c r="Y10" s="303"/>
      <c r="Z10" s="303"/>
      <c r="AA10" s="303"/>
      <c r="AB10" s="303"/>
      <c r="AC10" s="303"/>
      <c r="AD10" s="303"/>
      <c r="AE10" s="303"/>
      <c r="AF10" s="303"/>
      <c r="AG10" s="303"/>
      <c r="AH10" s="303"/>
      <c r="AI10" s="303"/>
      <c r="AJ10" s="303"/>
      <c r="AK10" s="303"/>
      <c r="AL10" s="261"/>
      <c r="AM10" s="540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5382"/>
      <c r="F11" s="5382"/>
      <c r="G11" s="5382"/>
      <c r="H11" s="5382"/>
      <c r="I11" s="5383"/>
      <c r="J11" s="1289"/>
      <c r="K11" s="1289"/>
      <c r="L11" s="1290"/>
      <c r="M11" s="473"/>
      <c r="P11" s="5385"/>
      <c r="Q11" s="1257"/>
      <c r="R11" s="292"/>
      <c r="S11" s="1204"/>
      <c r="T11" s="301" t="s">
        <v>439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5382"/>
      <c r="F12" s="5382"/>
      <c r="G12" s="5382"/>
      <c r="H12" s="538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5382"/>
      <c r="F13" s="5382"/>
      <c r="G13" s="5381"/>
      <c r="H13" s="1240"/>
      <c r="I13" s="1240"/>
      <c r="J13" s="1240"/>
      <c r="K13" s="1240"/>
      <c r="L13" s="1265"/>
      <c r="M13" s="1241"/>
      <c r="N13" s="1241"/>
      <c r="P13" s="1242"/>
      <c r="Q13" s="1243"/>
      <c r="R13" s="1242"/>
      <c r="S13" s="1244"/>
      <c r="T13" s="1245" t="s">
        <v>163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5382"/>
      <c r="F14" s="5381"/>
      <c r="G14" s="1240"/>
      <c r="H14" s="1240"/>
      <c r="I14" s="1240"/>
      <c r="J14" s="1240"/>
      <c r="K14" s="1240"/>
      <c r="L14" s="1265"/>
      <c r="M14" s="1247"/>
      <c r="N14" s="1247"/>
      <c r="P14" s="1242"/>
      <c r="Q14" s="1243"/>
      <c r="R14" s="1242"/>
      <c r="S14" s="1248"/>
      <c r="T14" s="1249" t="s">
        <v>164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5381"/>
      <c r="F15" s="1240"/>
      <c r="G15" s="1240"/>
      <c r="H15" s="1240"/>
      <c r="I15" s="1240"/>
      <c r="J15" s="1240"/>
      <c r="K15" s="1240"/>
      <c r="L15" s="1265"/>
      <c r="M15" s="1247"/>
      <c r="N15" s="1247"/>
      <c r="P15" s="1242"/>
      <c r="Q15" s="1243"/>
      <c r="R15" s="1242"/>
      <c r="S15" s="1248"/>
      <c r="T15" s="1251" t="s">
        <v>165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5378"/>
      <c r="AI17" s="5377" t="s">
        <v>65</v>
      </c>
      <c r="AJ17" s="5378"/>
      <c r="AK17" s="5377" t="s">
        <v>65</v>
      </c>
      <c r="AS17" s="1081">
        <v>0</v>
      </c>
    </row>
    <row r="18" spans="1:45" ht="14.25" hidden="1" customHeight="1">
      <c r="AD18" s="1286"/>
      <c r="AE18" s="1286"/>
      <c r="AF18" s="1286"/>
      <c r="AG18" s="265" t="str">
        <f>AH17&amp;"-"&amp;AJ17</f>
        <v>-</v>
      </c>
      <c r="AH18" s="5377"/>
      <c r="AI18" s="5377"/>
      <c r="AJ18" s="5377"/>
      <c r="AK18" s="5377"/>
      <c r="AS18" s="1081">
        <v>0</v>
      </c>
    </row>
    <row r="19" spans="1:45" ht="14.25" hidden="1" customHeight="1">
      <c r="AK19" s="264"/>
      <c r="AS19" s="1081">
        <v>0</v>
      </c>
    </row>
    <row r="20" spans="1:45" s="1292" customFormat="1" ht="22.5" hidden="1" customHeight="1">
      <c r="L20" s="1255"/>
      <c r="M20" s="1288"/>
      <c r="N20" s="1288"/>
      <c r="O20" s="1293" t="s">
        <v>441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442</v>
      </c>
      <c r="P22" s="1288"/>
      <c r="Q22" s="1297"/>
      <c r="R22" s="1297"/>
      <c r="S22" s="665"/>
      <c r="T22" s="1086" t="s">
        <v>443</v>
      </c>
      <c r="AA22" s="124" t="s">
        <v>444</v>
      </c>
      <c r="AC22" s="124" t="s">
        <v>445</v>
      </c>
      <c r="AD22" s="1086" t="s">
        <v>443</v>
      </c>
      <c r="AI22" s="124" t="s">
        <v>446</v>
      </c>
      <c r="AK22" s="124" t="s">
        <v>445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531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310"/>
      <c r="U26" s="5310"/>
      <c r="V26" s="5310"/>
      <c r="W26" s="5310"/>
      <c r="X26" s="5310"/>
      <c r="Y26" s="5310"/>
      <c r="Z26" s="5310"/>
      <c r="AA26" s="5310"/>
      <c r="AB26" s="5310"/>
      <c r="AC26" s="5310"/>
      <c r="AD26" s="5310"/>
      <c r="AE26" s="5310"/>
      <c r="AF26" s="5310"/>
      <c r="AG26" s="5310"/>
      <c r="AH26" s="5310"/>
      <c r="AI26" s="5310"/>
      <c r="AJ26" s="5310"/>
      <c r="AK26" s="1169"/>
      <c r="AS26" s="1081">
        <v>52</v>
      </c>
    </row>
    <row r="27" spans="1:45" ht="14.65" customHeight="1">
      <c r="Q27" s="312"/>
      <c r="R27" s="312"/>
      <c r="S27" s="5331" t="str">
        <f>IF(org=0,"Не определено",org)</f>
        <v>ПАО "ТГК-1" филиал "Невский"</v>
      </c>
      <c r="T27" s="5331"/>
      <c r="U27" s="5331"/>
      <c r="V27" s="5331"/>
      <c r="W27" s="5331"/>
      <c r="X27" s="5331"/>
      <c r="Y27" s="5331"/>
      <c r="Z27" s="5331"/>
      <c r="AA27" s="5331"/>
      <c r="AB27" s="5331"/>
      <c r="AC27" s="5331"/>
      <c r="AD27" s="5331"/>
      <c r="AE27" s="5331"/>
      <c r="AF27" s="5331"/>
      <c r="AG27" s="5331"/>
      <c r="AH27" s="5331"/>
      <c r="AI27" s="5331"/>
      <c r="AJ27" s="5331"/>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5370" t="s">
        <v>42</v>
      </c>
      <c r="T29" s="5370"/>
      <c r="U29" s="1298"/>
      <c r="V29" s="5372" t="str">
        <f>IF(TITLE_NAME_OR_PR_CHANGE="",IF(TITLE_NAME_OR_PR="","",TITLE_NAME_OR_PR),TITLE_NAME_OR_PR_CHANGE)</f>
        <v>Комитет по тарифам Санкт-Петербурга</v>
      </c>
      <c r="W29" s="5372"/>
      <c r="X29" s="5372"/>
      <c r="Y29" s="5372"/>
      <c r="Z29" s="5372"/>
      <c r="AA29" s="5372"/>
      <c r="AB29" s="5372"/>
      <c r="AC29" s="263"/>
      <c r="AD29" s="5372" t="str">
        <f>IF(TITLE_NAME_OR_PR_CHANGE="",IF(TITLE_NAME_OR_PR="","",TITLE_NAME_OR_PR),TITLE_NAME_OR_PR_CHANGE)</f>
        <v>Комитет по тарифам Санкт-Петербурга</v>
      </c>
      <c r="AE29" s="5372"/>
      <c r="AF29" s="5372"/>
      <c r="AG29" s="5372"/>
      <c r="AH29" s="5372"/>
      <c r="AI29" s="5372"/>
      <c r="AJ29" s="5372"/>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5370" t="s">
        <v>447</v>
      </c>
      <c r="T30" s="5370"/>
      <c r="U30" s="1298"/>
      <c r="V30" s="5371">
        <f>IF(TITLE_DATE_PR_CHANGE="",IF(TITLE_DATE_PR="","",TITLE_DATE_PR),TITLE_DATE_PR_CHANGE)</f>
        <v>45470</v>
      </c>
      <c r="W30" s="5371"/>
      <c r="X30" s="5371"/>
      <c r="Y30" s="5371"/>
      <c r="Z30" s="5371"/>
      <c r="AA30" s="5371"/>
      <c r="AB30" s="5371"/>
      <c r="AC30" s="263"/>
      <c r="AD30" s="5371">
        <f>IF(TITLE_DATE_PR_CHANGE="",IF(TITLE_DATE_PR="","",TITLE_DATE_PR),TITLE_DATE_PR_CHANGE)</f>
        <v>45470</v>
      </c>
      <c r="AE30" s="5371"/>
      <c r="AF30" s="5371"/>
      <c r="AG30" s="5371"/>
      <c r="AH30" s="5371"/>
      <c r="AI30" s="5371"/>
      <c r="AJ30" s="5371"/>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5370" t="s">
        <v>448</v>
      </c>
      <c r="T31" s="5370"/>
      <c r="U31" s="1298"/>
      <c r="V31" s="5372" t="str">
        <f>IF(TITLE_NUMBER_PR_CHANGE="",IF(TITLE_NUMBER_PR="","",TITLE_NUMBER_PR),TITLE_NUMBER_PR_CHANGE)</f>
        <v>94-р</v>
      </c>
      <c r="W31" s="5372"/>
      <c r="X31" s="5372"/>
      <c r="Y31" s="5372"/>
      <c r="Z31" s="5372"/>
      <c r="AA31" s="5372"/>
      <c r="AB31" s="5372"/>
      <c r="AC31" s="263"/>
      <c r="AD31" s="5372" t="str">
        <f>IF(TITLE_NUMBER_PR_CHANGE="",IF(TITLE_NUMBER_PR="","",TITLE_NUMBER_PR),TITLE_NUMBER_PR_CHANGE)</f>
        <v>94-р</v>
      </c>
      <c r="AE31" s="5372"/>
      <c r="AF31" s="5372"/>
      <c r="AG31" s="5372"/>
      <c r="AH31" s="5372"/>
      <c r="AI31" s="5372"/>
      <c r="AJ31" s="5372"/>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5370" t="s">
        <v>44</v>
      </c>
      <c r="T32" s="5370"/>
      <c r="U32" s="1298"/>
      <c r="V32" s="5372" t="str">
        <f>IF(TITLE_IST_PUB_CHANGE="",IF(TITLE_IST_PUB="","",TITLE_IST_PUB),TITLE_IST_PUB_CHANGE)</f>
        <v>http://publication.pravo.gov.ru/document/7801202407010029</v>
      </c>
      <c r="W32" s="5372"/>
      <c r="X32" s="5372"/>
      <c r="Y32" s="5372"/>
      <c r="Z32" s="5372"/>
      <c r="AA32" s="5372"/>
      <c r="AB32" s="5372"/>
      <c r="AC32" s="263"/>
      <c r="AD32" s="5372" t="str">
        <f>IF(TITLE_IST_PUB_CHANGE="",IF(TITLE_IST_PUB="","",TITLE_IST_PUB),TITLE_IST_PUB_CHANGE)</f>
        <v>http://publication.pravo.gov.ru/document/7801202407010029</v>
      </c>
      <c r="AE32" s="5372"/>
      <c r="AF32" s="5372"/>
      <c r="AG32" s="5372"/>
      <c r="AH32" s="5372"/>
      <c r="AI32" s="5372"/>
      <c r="AJ32" s="5372"/>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5370" t="s">
        <v>449</v>
      </c>
      <c r="T34" s="5370"/>
      <c r="U34" s="1298"/>
      <c r="V34" s="5371">
        <f>IF(TITLE_DATE_PR_CHANGE="",IF(TITLE_DATE_PR="","",TITLE_DATE_PR),TITLE_DATE_PR_CHANGE)</f>
        <v>45470</v>
      </c>
      <c r="W34" s="5371"/>
      <c r="X34" s="5371"/>
      <c r="Y34" s="5371"/>
      <c r="Z34" s="5371"/>
      <c r="AA34" s="5371"/>
      <c r="AB34" s="5371"/>
      <c r="AC34" s="263"/>
      <c r="AD34" s="5371">
        <f>IF(TITLE_DATE_PR_CHANGE="",IF(TITLE_DATE_PR="","",TITLE_DATE_PR),TITLE_DATE_PR_CHANGE)</f>
        <v>45470</v>
      </c>
      <c r="AE34" s="5371"/>
      <c r="AF34" s="5371"/>
      <c r="AG34" s="5371"/>
      <c r="AH34" s="5371"/>
      <c r="AI34" s="5371"/>
      <c r="AJ34" s="5371"/>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5370" t="s">
        <v>450</v>
      </c>
      <c r="T35" s="5370"/>
      <c r="U35" s="1298"/>
      <c r="V35" s="5372" t="str">
        <f>IF(TITLE_NUMBER_PR_CHANGE="",IF(TITLE_NUMBER_PR="","",TITLE_NUMBER_PR),TITLE_NUMBER_PR_CHANGE)</f>
        <v>94-р</v>
      </c>
      <c r="W35" s="5372"/>
      <c r="X35" s="5372"/>
      <c r="Y35" s="5372"/>
      <c r="Z35" s="5372"/>
      <c r="AA35" s="5372"/>
      <c r="AB35" s="5372"/>
      <c r="AC35" s="263"/>
      <c r="AD35" s="5372" t="str">
        <f>IF(TITLE_NUMBER_PR_CHANGE="",IF(TITLE_NUMBER_PR="","",TITLE_NUMBER_PR),TITLE_NUMBER_PR_CHANGE)</f>
        <v>94-р</v>
      </c>
      <c r="AE35" s="5372"/>
      <c r="AF35" s="5372"/>
      <c r="AG35" s="5372"/>
      <c r="AH35" s="5372"/>
      <c r="AI35" s="5372"/>
      <c r="AJ35" s="5372"/>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451</v>
      </c>
      <c r="AD36" s="263"/>
      <c r="AE36" s="263"/>
      <c r="AF36" s="263"/>
      <c r="AG36" s="263"/>
      <c r="AH36" s="263"/>
      <c r="AI36" s="263"/>
      <c r="AJ36" s="263"/>
      <c r="AK36" s="215" t="s">
        <v>451</v>
      </c>
      <c r="AN36" s="304"/>
      <c r="AO36" s="304"/>
      <c r="AP36" s="304"/>
      <c r="AQ36" s="304"/>
      <c r="AR36" s="304"/>
      <c r="AS36" s="354">
        <v>0</v>
      </c>
    </row>
    <row r="37" spans="1:45" ht="14.65" customHeight="1">
      <c r="Q37" s="312"/>
      <c r="R37" s="312"/>
      <c r="S37" s="1201"/>
      <c r="T37" s="299"/>
      <c r="U37" s="1170"/>
      <c r="V37" s="5393"/>
      <c r="W37" s="5393"/>
      <c r="X37" s="5393"/>
      <c r="Y37" s="5393"/>
      <c r="Z37" s="5393"/>
      <c r="AA37" s="5393"/>
      <c r="AB37" s="5393"/>
      <c r="AC37" s="5393"/>
      <c r="AD37" s="5393"/>
      <c r="AE37" s="5393"/>
      <c r="AF37" s="5393"/>
      <c r="AG37" s="5393"/>
      <c r="AH37" s="5393"/>
      <c r="AI37" s="5393"/>
      <c r="AJ37" s="5393"/>
      <c r="AK37" s="5393"/>
      <c r="AS37" s="1081">
        <v>14</v>
      </c>
    </row>
    <row r="38" spans="1:45" ht="14.65" customHeight="1">
      <c r="Q38" s="312"/>
      <c r="R38" s="312"/>
      <c r="S38" s="5235" t="s">
        <v>327</v>
      </c>
      <c r="T38" s="5235"/>
      <c r="U38" s="5235"/>
      <c r="V38" s="5235"/>
      <c r="W38" s="5235"/>
      <c r="X38" s="5235"/>
      <c r="Y38" s="5235"/>
      <c r="Z38" s="5235"/>
      <c r="AA38" s="5235"/>
      <c r="AB38" s="5235"/>
      <c r="AC38" s="5235"/>
      <c r="AD38" s="5235"/>
      <c r="AE38" s="5235"/>
      <c r="AF38" s="5235"/>
      <c r="AG38" s="5235"/>
      <c r="AH38" s="5235"/>
      <c r="AI38" s="5235"/>
      <c r="AJ38" s="5235"/>
      <c r="AK38" s="5235"/>
      <c r="AL38" s="5235"/>
      <c r="AM38" s="5235" t="s">
        <v>328</v>
      </c>
      <c r="AS38" s="1081">
        <v>14</v>
      </c>
    </row>
    <row r="39" spans="1:45" ht="14.65" customHeight="1">
      <c r="Q39" s="312"/>
      <c r="R39" s="312"/>
      <c r="S39" s="5395" t="s">
        <v>90</v>
      </c>
      <c r="T39" s="5339" t="s">
        <v>452</v>
      </c>
      <c r="U39" s="238"/>
      <c r="V39" s="5396" t="s">
        <v>453</v>
      </c>
      <c r="W39" s="5397"/>
      <c r="X39" s="5397"/>
      <c r="Y39" s="5397"/>
      <c r="Z39" s="5397"/>
      <c r="AA39" s="5397"/>
      <c r="AB39" s="5398"/>
      <c r="AC39" s="5399" t="s">
        <v>454</v>
      </c>
      <c r="AD39" s="5396" t="s">
        <v>453</v>
      </c>
      <c r="AE39" s="5397"/>
      <c r="AF39" s="5397"/>
      <c r="AG39" s="5397"/>
      <c r="AH39" s="5397"/>
      <c r="AI39" s="5397"/>
      <c r="AJ39" s="5398"/>
      <c r="AK39" s="5399" t="s">
        <v>455</v>
      </c>
      <c r="AL39" s="5402" t="s">
        <v>456</v>
      </c>
      <c r="AM39" s="5235"/>
      <c r="AS39" s="1081">
        <v>14</v>
      </c>
    </row>
    <row r="40" spans="1:45" ht="35.65" customHeight="1">
      <c r="Q40" s="312"/>
      <c r="R40" s="312"/>
      <c r="S40" s="5395"/>
      <c r="T40" s="5339"/>
      <c r="U40" s="960"/>
      <c r="V40" s="5311" t="s">
        <v>457</v>
      </c>
      <c r="W40" s="5390"/>
      <c r="X40" s="5217" t="s">
        <v>459</v>
      </c>
      <c r="Y40" s="5216"/>
      <c r="Z40" s="5217" t="s">
        <v>460</v>
      </c>
      <c r="AA40" s="5222"/>
      <c r="AB40" s="5216"/>
      <c r="AC40" s="5400"/>
      <c r="AD40" s="5311" t="s">
        <v>478</v>
      </c>
      <c r="AE40" s="5390"/>
      <c r="AF40" s="5217" t="s">
        <v>459</v>
      </c>
      <c r="AG40" s="5216"/>
      <c r="AH40" s="5217" t="s">
        <v>460</v>
      </c>
      <c r="AI40" s="5222"/>
      <c r="AJ40" s="5216"/>
      <c r="AK40" s="5400"/>
      <c r="AL40" s="5403"/>
      <c r="AM40" s="5235"/>
      <c r="AS40" s="1081">
        <v>34</v>
      </c>
    </row>
    <row r="41" spans="1:45" ht="35.65" customHeight="1">
      <c r="A41" s="1296"/>
      <c r="B41" s="1296" t="s">
        <v>137</v>
      </c>
      <c r="C41" s="1296" t="s">
        <v>138</v>
      </c>
      <c r="D41" s="1296" t="s">
        <v>139</v>
      </c>
      <c r="E41" s="1290" t="s">
        <v>461</v>
      </c>
      <c r="F41" s="1290" t="s">
        <v>462</v>
      </c>
      <c r="G41" s="1290" t="s">
        <v>463</v>
      </c>
      <c r="H41" s="1290" t="s">
        <v>464</v>
      </c>
      <c r="I41" s="1290" t="s">
        <v>465</v>
      </c>
      <c r="J41" s="1290" t="s">
        <v>466</v>
      </c>
      <c r="K41" s="1290" t="s">
        <v>467</v>
      </c>
      <c r="L41" s="1290" t="s">
        <v>442</v>
      </c>
      <c r="Q41" s="312"/>
      <c r="R41" s="312"/>
      <c r="S41" s="5395"/>
      <c r="T41" s="5339"/>
      <c r="U41" s="239"/>
      <c r="V41" s="5364"/>
      <c r="W41" s="5391"/>
      <c r="X41" s="1148" t="s">
        <v>468</v>
      </c>
      <c r="Y41" s="1148" t="s">
        <v>469</v>
      </c>
      <c r="Z41" s="1264" t="s">
        <v>470</v>
      </c>
      <c r="AA41" s="5344" t="s">
        <v>471</v>
      </c>
      <c r="AB41" s="5358"/>
      <c r="AC41" s="5401"/>
      <c r="AD41" s="5364"/>
      <c r="AE41" s="5391"/>
      <c r="AF41" s="1148" t="s">
        <v>468</v>
      </c>
      <c r="AG41" s="1148" t="s">
        <v>469</v>
      </c>
      <c r="AH41" s="1264" t="s">
        <v>470</v>
      </c>
      <c r="AI41" s="5344" t="s">
        <v>471</v>
      </c>
      <c r="AJ41" s="5358"/>
      <c r="AK41" s="5401"/>
      <c r="AL41" s="5404"/>
      <c r="AM41" s="5235"/>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5392">
        <f ca="1">OFFSET(AA42,0,-1)+1</f>
        <v>4</v>
      </c>
      <c r="AB42" s="5392"/>
      <c r="AC42" s="1261">
        <f ca="1">OFFSET(AC42,0,-2)+1</f>
        <v>5</v>
      </c>
      <c r="AD42" s="1261">
        <f ca="1">OFFSET(AD42,0,-1)+1</f>
        <v>6</v>
      </c>
      <c r="AE42" s="1261"/>
      <c r="AF42" s="1261">
        <f ca="1">OFFSET(AF42,0,-1)+1</f>
        <v>1</v>
      </c>
      <c r="AG42" s="1261">
        <f ca="1">OFFSET(AG42,0,-1)+1</f>
        <v>2</v>
      </c>
      <c r="AH42" s="1261">
        <f ca="1">OFFSET(AH42,0,-1)+1</f>
        <v>3</v>
      </c>
      <c r="AI42" s="5392">
        <f ca="1">OFFSET(AI42,0,-1)+1</f>
        <v>4</v>
      </c>
      <c r="AJ42" s="5392"/>
      <c r="AK42" s="1261">
        <f ca="1">OFFSET(AK42,0,-2)+1</f>
        <v>5</v>
      </c>
      <c r="AL42" s="1171">
        <f ca="1">OFFSET(AL42,0,-1)</f>
        <v>5</v>
      </c>
      <c r="AM42" s="1261">
        <f ca="1">OFFSET(AM42,0,-1)+1</f>
        <v>6</v>
      </c>
      <c r="AN42" s="447"/>
      <c r="AO42" s="447"/>
      <c r="AP42" s="447"/>
      <c r="AQ42" s="447"/>
      <c r="AR42" s="447"/>
      <c r="AS42" s="432">
        <v>0</v>
      </c>
    </row>
    <row r="43" spans="1:45" ht="21.95" customHeight="1">
      <c r="A43" s="1289" t="s">
        <v>207</v>
      </c>
      <c r="B43" s="1289"/>
      <c r="C43" s="1289"/>
      <c r="D43" s="1289"/>
      <c r="E43" s="538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5373"/>
      <c r="W43" s="5374"/>
      <c r="X43" s="5374"/>
      <c r="Y43" s="5374"/>
      <c r="Z43" s="5374"/>
      <c r="AA43" s="5374"/>
      <c r="AB43" s="5374"/>
      <c r="AC43" s="5375"/>
      <c r="AD43" s="5373" t="str">
        <f>INDEX(PT_DIFFERENTIATION_NTAR,MATCH(A43,PT_DIFFERENTIATION_NTAR_ID,0))</f>
        <v/>
      </c>
      <c r="AE43" s="5374"/>
      <c r="AF43" s="5374"/>
      <c r="AG43" s="5374"/>
      <c r="AH43" s="5374"/>
      <c r="AI43" s="5374"/>
      <c r="AJ43" s="5374"/>
      <c r="AK43" s="5374"/>
      <c r="AL43" s="537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207</v>
      </c>
      <c r="B44" s="1289" t="s">
        <v>208</v>
      </c>
      <c r="C44" s="1289"/>
      <c r="D44" s="1289"/>
      <c r="E44" s="5382"/>
      <c r="F44" s="5381">
        <v>1</v>
      </c>
      <c r="G44" s="1289"/>
      <c r="H44" s="1289"/>
      <c r="I44" s="1289"/>
      <c r="J44" s="1289"/>
      <c r="K44" s="1289"/>
      <c r="L44" s="1290"/>
      <c r="M44" s="1291"/>
      <c r="N44" s="1291"/>
      <c r="O44" s="1291"/>
      <c r="P44" s="1258"/>
      <c r="Q44" s="288"/>
      <c r="R44" s="289"/>
      <c r="S44" s="1262" t="str">
        <f>INDEX(PT_DIFFERENTIATION_NUM_TER,MATCH(B44,PT_DIFFERENTIATION_TER_ID,0))</f>
        <v>.</v>
      </c>
      <c r="T44" s="245" t="s">
        <v>424</v>
      </c>
      <c r="U44" s="237"/>
      <c r="V44" s="5373"/>
      <c r="W44" s="5374"/>
      <c r="X44" s="5374"/>
      <c r="Y44" s="5374"/>
      <c r="Z44" s="5374"/>
      <c r="AA44" s="5374"/>
      <c r="AB44" s="5374"/>
      <c r="AC44" s="5375"/>
      <c r="AD44" s="5373" t="str">
        <f>INDEX(PT_DIFFERENTIATION_TER,MATCH(B44,PT_DIFFERENTIATION_TER_ID,0))</f>
        <v/>
      </c>
      <c r="AE44" s="5374"/>
      <c r="AF44" s="5374"/>
      <c r="AG44" s="5374"/>
      <c r="AH44" s="5374"/>
      <c r="AI44" s="5374"/>
      <c r="AJ44" s="5374"/>
      <c r="AK44" s="5374"/>
      <c r="AL44" s="5375"/>
      <c r="AM44" s="1184" t="s">
        <v>425</v>
      </c>
      <c r="AO44" s="436"/>
      <c r="AP44" s="436" t="str">
        <f t="shared" si="1"/>
        <v>Территория действия тарифа</v>
      </c>
      <c r="AQ44" s="436"/>
      <c r="AR44" s="436"/>
      <c r="AS44" s="1081">
        <v>21</v>
      </c>
    </row>
    <row r="45" spans="1:45" ht="24" customHeight="1">
      <c r="A45" s="1289" t="s">
        <v>207</v>
      </c>
      <c r="B45" s="1289" t="s">
        <v>208</v>
      </c>
      <c r="C45" s="1289" t="s">
        <v>209</v>
      </c>
      <c r="D45" s="1289"/>
      <c r="E45" s="5382"/>
      <c r="F45" s="5382"/>
      <c r="G45" s="5381">
        <v>1</v>
      </c>
      <c r="H45" s="1289"/>
      <c r="I45" s="1289"/>
      <c r="J45" s="1289"/>
      <c r="K45" s="1289"/>
      <c r="L45" s="1290"/>
      <c r="M45" s="1291"/>
      <c r="N45" s="1291"/>
      <c r="O45" s="1291"/>
      <c r="P45" s="290"/>
      <c r="Q45" s="288"/>
      <c r="R45" s="289"/>
      <c r="S45" s="1262" t="str">
        <f>INDEX(PT_DIFFERENTIATION_NUM_CS,MATCH(C45,PT_DIFFERENTIATION_CS_ID,0))</f>
        <v>..</v>
      </c>
      <c r="T45" s="246" t="s">
        <v>426</v>
      </c>
      <c r="U45" s="237"/>
      <c r="V45" s="5373"/>
      <c r="W45" s="5374"/>
      <c r="X45" s="5374"/>
      <c r="Y45" s="5374"/>
      <c r="Z45" s="5374"/>
      <c r="AA45" s="5374"/>
      <c r="AB45" s="5374"/>
      <c r="AC45" s="5375"/>
      <c r="AD45" s="5373" t="str">
        <f>INDEX(PT_DIFFERENTIATION_CS,MATCH(C45,PT_DIFFERENTIATION_CS_ID,0))</f>
        <v/>
      </c>
      <c r="AE45" s="5374"/>
      <c r="AF45" s="5374"/>
      <c r="AG45" s="5374"/>
      <c r="AH45" s="5374"/>
      <c r="AI45" s="5374"/>
      <c r="AJ45" s="5374"/>
      <c r="AK45" s="5374"/>
      <c r="AL45" s="5375"/>
      <c r="AM45" s="1184" t="s">
        <v>427</v>
      </c>
      <c r="AO45" s="436"/>
      <c r="AP45" s="436" t="str">
        <f t="shared" si="1"/>
        <v xml:space="preserve">Наименование системы теплоснабжения </v>
      </c>
      <c r="AQ45" s="436"/>
      <c r="AR45" s="436"/>
      <c r="AS45" s="1081">
        <v>23</v>
      </c>
    </row>
    <row r="46" spans="1:45" ht="21.95" customHeight="1">
      <c r="A46" s="1289" t="s">
        <v>207</v>
      </c>
      <c r="B46" s="1289" t="s">
        <v>208</v>
      </c>
      <c r="C46" s="1289" t="s">
        <v>209</v>
      </c>
      <c r="D46" s="1289" t="s">
        <v>210</v>
      </c>
      <c r="E46" s="5382"/>
      <c r="F46" s="5382"/>
      <c r="G46" s="5382"/>
      <c r="H46" s="5381">
        <v>1</v>
      </c>
      <c r="I46" s="1289"/>
      <c r="J46" s="1289"/>
      <c r="K46" s="1289"/>
      <c r="L46" s="1290"/>
      <c r="M46" s="1291"/>
      <c r="N46" s="1291"/>
      <c r="O46" s="1291"/>
      <c r="P46" s="290"/>
      <c r="Q46" s="288"/>
      <c r="R46" s="289"/>
      <c r="S46" s="1262" t="str">
        <f>INDEX(PT_DIFFERENTIATION_NUM_IST_TE,MATCH(D46,PT_DIFFERENTIATION_IST_TE_ID,0))</f>
        <v>...</v>
      </c>
      <c r="T46" s="247" t="s">
        <v>428</v>
      </c>
      <c r="U46" s="237"/>
      <c r="V46" s="5373"/>
      <c r="W46" s="5374"/>
      <c r="X46" s="5374"/>
      <c r="Y46" s="5374"/>
      <c r="Z46" s="5374"/>
      <c r="AA46" s="5374"/>
      <c r="AB46" s="5374"/>
      <c r="AC46" s="5375"/>
      <c r="AD46" s="5373" t="str">
        <f>INDEX(PT_DIFFERENTIATION_IST_TE,MATCH(D46,PT_DIFFERENTIATION_IST_TE_ID,0))</f>
        <v/>
      </c>
      <c r="AE46" s="5374"/>
      <c r="AF46" s="5374"/>
      <c r="AG46" s="5374"/>
      <c r="AH46" s="5374"/>
      <c r="AI46" s="5374"/>
      <c r="AJ46" s="5374"/>
      <c r="AK46" s="5374"/>
      <c r="AL46" s="5375"/>
      <c r="AM46" s="1184" t="s">
        <v>429</v>
      </c>
      <c r="AO46" s="436"/>
      <c r="AP46" s="436" t="str">
        <f t="shared" si="1"/>
        <v xml:space="preserve">Источник тепловой энергии  </v>
      </c>
      <c r="AQ46" s="436"/>
      <c r="AR46" s="436"/>
      <c r="AS46" s="1081">
        <v>21</v>
      </c>
    </row>
    <row r="47" spans="1:45" s="1568" customFormat="1" ht="0" hidden="1" customHeight="1">
      <c r="A47" s="1269" t="s">
        <v>207</v>
      </c>
      <c r="B47" s="1269" t="s">
        <v>208</v>
      </c>
      <c r="C47" s="1269" t="s">
        <v>209</v>
      </c>
      <c r="D47" s="1269" t="s">
        <v>210</v>
      </c>
      <c r="E47" s="5382"/>
      <c r="F47" s="5382"/>
      <c r="G47" s="5382"/>
      <c r="H47" s="5382"/>
      <c r="I47" s="5383" t="str">
        <f>S46&amp;".1"</f>
        <v>....1</v>
      </c>
      <c r="J47" s="1269"/>
      <c r="K47" s="1269"/>
      <c r="L47" s="1272" t="s">
        <v>430</v>
      </c>
      <c r="M47" s="446"/>
      <c r="N47" s="446"/>
      <c r="O47" s="446"/>
      <c r="P47" s="5385">
        <v>1</v>
      </c>
      <c r="Q47" s="1257"/>
      <c r="R47" s="292"/>
      <c r="S47" s="971"/>
      <c r="T47" s="1309"/>
      <c r="U47" s="1310"/>
      <c r="V47" s="5420"/>
      <c r="W47" s="5421"/>
      <c r="X47" s="5421"/>
      <c r="Y47" s="5421"/>
      <c r="Z47" s="5421"/>
      <c r="AA47" s="5421"/>
      <c r="AB47" s="5421"/>
      <c r="AC47" s="5422"/>
      <c r="AD47" s="5420"/>
      <c r="AE47" s="5421"/>
      <c r="AF47" s="5421"/>
      <c r="AG47" s="5421"/>
      <c r="AH47" s="5421"/>
      <c r="AI47" s="5421"/>
      <c r="AJ47" s="5421"/>
      <c r="AK47" s="5421"/>
      <c r="AL47" s="5422"/>
      <c r="AM47" s="1311"/>
      <c r="AO47" s="436"/>
      <c r="AP47" s="436" t="str">
        <f t="shared" si="1"/>
        <v/>
      </c>
      <c r="AQ47" s="436"/>
      <c r="AR47" s="436"/>
      <c r="AS47" s="447">
        <v>0</v>
      </c>
    </row>
    <row r="48" spans="1:45" ht="21.95" customHeight="1">
      <c r="A48" s="1289" t="s">
        <v>207</v>
      </c>
      <c r="B48" s="1289" t="s">
        <v>208</v>
      </c>
      <c r="C48" s="1289" t="s">
        <v>209</v>
      </c>
      <c r="D48" s="1289" t="s">
        <v>210</v>
      </c>
      <c r="E48" s="5382"/>
      <c r="F48" s="5382"/>
      <c r="G48" s="5382"/>
      <c r="H48" s="5382"/>
      <c r="I48" s="5384"/>
      <c r="J48" s="5383" t="str">
        <f>S46&amp;".1"</f>
        <v>....1</v>
      </c>
      <c r="K48" s="1289"/>
      <c r="L48" s="1290" t="s">
        <v>433</v>
      </c>
      <c r="P48" s="5385"/>
      <c r="Q48" s="5385">
        <v>1</v>
      </c>
      <c r="R48" s="293"/>
      <c r="S48" s="1262" t="str">
        <f>$J48</f>
        <v>....1</v>
      </c>
      <c r="T48" s="223" t="s">
        <v>434</v>
      </c>
      <c r="U48" s="237"/>
      <c r="V48" s="5366"/>
      <c r="W48" s="5367"/>
      <c r="X48" s="5367"/>
      <c r="Y48" s="5367"/>
      <c r="Z48" s="5367"/>
      <c r="AA48" s="5367"/>
      <c r="AB48" s="5367"/>
      <c r="AC48" s="5368"/>
      <c r="AD48" s="5366"/>
      <c r="AE48" s="5367"/>
      <c r="AF48" s="5367"/>
      <c r="AG48" s="5367"/>
      <c r="AH48" s="5367"/>
      <c r="AI48" s="5367"/>
      <c r="AJ48" s="5367"/>
      <c r="AK48" s="5367"/>
      <c r="AL48" s="5368"/>
      <c r="AM48" s="1184" t="s">
        <v>435</v>
      </c>
      <c r="AO48" s="436"/>
      <c r="AP48" s="436" t="str">
        <f t="shared" si="1"/>
        <v>Группа потребителей</v>
      </c>
      <c r="AQ48" s="436"/>
      <c r="AR48" s="436"/>
      <c r="AS48" s="1081">
        <v>21</v>
      </c>
    </row>
    <row r="49" spans="1:45" ht="21.95" customHeight="1">
      <c r="A49" s="1289" t="s">
        <v>207</v>
      </c>
      <c r="B49" s="1289" t="s">
        <v>208</v>
      </c>
      <c r="C49" s="1289" t="s">
        <v>209</v>
      </c>
      <c r="D49" s="1289" t="s">
        <v>210</v>
      </c>
      <c r="E49" s="5382"/>
      <c r="F49" s="5382"/>
      <c r="G49" s="5382"/>
      <c r="H49" s="5382"/>
      <c r="I49" s="5384"/>
      <c r="J49" s="5384"/>
      <c r="K49" s="5383" t="str">
        <f>J48&amp;".1"</f>
        <v>....1.1</v>
      </c>
      <c r="L49" s="1290" t="s">
        <v>436</v>
      </c>
      <c r="P49" s="5385"/>
      <c r="Q49" s="5385"/>
      <c r="R49" s="293">
        <v>1</v>
      </c>
      <c r="S49" s="1262" t="str">
        <f>$K49</f>
        <v>....1.1</v>
      </c>
      <c r="T49" s="1273"/>
      <c r="U49" s="237"/>
      <c r="V49" s="687"/>
      <c r="W49" s="262"/>
      <c r="X49" s="687"/>
      <c r="Y49" s="1183"/>
      <c r="Z49" s="5386"/>
      <c r="AA49" s="5245" t="s">
        <v>65</v>
      </c>
      <c r="AB49" s="5386"/>
      <c r="AC49" s="5245" t="s">
        <v>65</v>
      </c>
      <c r="AD49" s="687"/>
      <c r="AE49" s="262"/>
      <c r="AF49" s="687"/>
      <c r="AG49" s="1183"/>
      <c r="AH49" s="5386"/>
      <c r="AI49" s="5245" t="s">
        <v>65</v>
      </c>
      <c r="AJ49" s="5388"/>
      <c r="AK49" s="5245" t="s">
        <v>65</v>
      </c>
      <c r="AL49" s="1274"/>
      <c r="AM49" s="5405" t="s">
        <v>480</v>
      </c>
      <c r="AN49" s="447" t="e">
        <f ca="1">STRCHECKDATE(V50:AL50)</f>
        <v>#NAME?</v>
      </c>
      <c r="AO49" s="436"/>
      <c r="AP49" s="436" t="str">
        <f t="shared" si="1"/>
        <v/>
      </c>
      <c r="AQ49" s="436"/>
      <c r="AR49" s="436"/>
      <c r="AS49" s="1081">
        <v>21</v>
      </c>
    </row>
    <row r="50" spans="1:45" ht="1.1499999999999999" customHeight="1">
      <c r="A50" s="1289" t="s">
        <v>207</v>
      </c>
      <c r="B50" s="1289" t="s">
        <v>208</v>
      </c>
      <c r="C50" s="1289" t="s">
        <v>209</v>
      </c>
      <c r="D50" s="1289" t="s">
        <v>210</v>
      </c>
      <c r="E50" s="5382"/>
      <c r="F50" s="5382"/>
      <c r="G50" s="5382"/>
      <c r="H50" s="5382"/>
      <c r="I50" s="5384"/>
      <c r="J50" s="5384"/>
      <c r="K50" s="5383"/>
      <c r="L50" s="1290"/>
      <c r="P50" s="5385"/>
      <c r="Q50" s="5385"/>
      <c r="R50" s="293"/>
      <c r="S50" s="1268"/>
      <c r="T50" s="237"/>
      <c r="U50" s="237"/>
      <c r="V50" s="262"/>
      <c r="W50" s="262"/>
      <c r="X50" s="262"/>
      <c r="Y50" s="265" t="str">
        <f>Z49&amp;"-"&amp;AB49</f>
        <v>-</v>
      </c>
      <c r="Z50" s="5387"/>
      <c r="AA50" s="5245"/>
      <c r="AB50" s="5387"/>
      <c r="AC50" s="5245"/>
      <c r="AD50" s="262"/>
      <c r="AE50" s="262"/>
      <c r="AF50" s="262"/>
      <c r="AG50" s="265" t="str">
        <f>AH49&amp;"-"&amp;AJ49</f>
        <v>-</v>
      </c>
      <c r="AH50" s="5387"/>
      <c r="AI50" s="5245"/>
      <c r="AJ50" s="5389"/>
      <c r="AK50" s="5245"/>
      <c r="AL50" s="1275"/>
      <c r="AM50" s="5406"/>
      <c r="AO50" s="436"/>
      <c r="AP50" s="436" t="str">
        <f t="shared" si="1"/>
        <v/>
      </c>
      <c r="AQ50" s="436"/>
      <c r="AR50" s="436"/>
      <c r="AS50" s="1081">
        <v>1</v>
      </c>
    </row>
    <row r="51" spans="1:45" ht="11.45" customHeight="1">
      <c r="A51" s="1289" t="s">
        <v>207</v>
      </c>
      <c r="B51" s="1289" t="s">
        <v>208</v>
      </c>
      <c r="C51" s="1289" t="s">
        <v>209</v>
      </c>
      <c r="D51" s="1289" t="s">
        <v>210</v>
      </c>
      <c r="E51" s="5382"/>
      <c r="F51" s="5382"/>
      <c r="G51" s="5382"/>
      <c r="H51" s="5382"/>
      <c r="I51" s="5384"/>
      <c r="J51" s="5383"/>
      <c r="K51" s="1289"/>
      <c r="L51" s="1290"/>
      <c r="P51" s="5385"/>
      <c r="Q51" s="5385"/>
      <c r="R51" s="292"/>
      <c r="S51" s="1204"/>
      <c r="T51" s="224" t="s">
        <v>438</v>
      </c>
      <c r="U51" s="303"/>
      <c r="V51" s="303"/>
      <c r="W51" s="303"/>
      <c r="X51" s="303"/>
      <c r="Y51" s="303"/>
      <c r="Z51" s="303"/>
      <c r="AA51" s="303"/>
      <c r="AB51" s="303"/>
      <c r="AC51" s="303"/>
      <c r="AD51" s="303"/>
      <c r="AE51" s="303"/>
      <c r="AF51" s="303"/>
      <c r="AG51" s="303"/>
      <c r="AH51" s="303"/>
      <c r="AI51" s="303"/>
      <c r="AJ51" s="303"/>
      <c r="AK51" s="303"/>
      <c r="AL51" s="261"/>
      <c r="AM51" s="5407"/>
      <c r="AO51" s="436"/>
      <c r="AP51" s="436" t="str">
        <f t="shared" si="1"/>
        <v>Добавить вид теплоносителя (параметры теплоносителя)</v>
      </c>
      <c r="AQ51" s="436"/>
      <c r="AR51" s="436"/>
      <c r="AS51" s="1081">
        <v>11</v>
      </c>
    </row>
    <row r="52" spans="1:45" ht="11.45" customHeight="1">
      <c r="A52" s="1289" t="s">
        <v>207</v>
      </c>
      <c r="B52" s="1289" t="s">
        <v>208</v>
      </c>
      <c r="C52" s="1289" t="s">
        <v>209</v>
      </c>
      <c r="D52" s="1289" t="s">
        <v>210</v>
      </c>
      <c r="E52" s="5382"/>
      <c r="F52" s="5382"/>
      <c r="G52" s="5382"/>
      <c r="H52" s="5382"/>
      <c r="I52" s="5383"/>
      <c r="J52" s="1289"/>
      <c r="K52" s="1289"/>
      <c r="L52" s="1290"/>
      <c r="P52" s="5385"/>
      <c r="Q52" s="1257"/>
      <c r="R52" s="292"/>
      <c r="S52" s="1204"/>
      <c r="T52" s="301" t="s">
        <v>439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207</v>
      </c>
      <c r="B53" s="1289" t="s">
        <v>208</v>
      </c>
      <c r="C53" s="1289" t="s">
        <v>209</v>
      </c>
      <c r="D53" s="1289" t="s">
        <v>210</v>
      </c>
      <c r="E53" s="5382"/>
      <c r="F53" s="5382"/>
      <c r="G53" s="5382"/>
      <c r="H53" s="538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207</v>
      </c>
      <c r="B54" s="1269" t="s">
        <v>208</v>
      </c>
      <c r="C54" s="1269" t="s">
        <v>209</v>
      </c>
      <c r="D54" s="1240"/>
      <c r="E54" s="5382"/>
      <c r="F54" s="5382"/>
      <c r="G54" s="5381"/>
      <c r="H54" s="1240"/>
      <c r="I54" s="1240"/>
      <c r="J54" s="1240"/>
      <c r="K54" s="1240"/>
      <c r="L54" s="1265"/>
      <c r="M54" s="1241"/>
      <c r="N54" s="1241"/>
      <c r="P54" s="1242"/>
      <c r="Q54" s="1243"/>
      <c r="R54" s="1242"/>
      <c r="S54" s="1248"/>
      <c r="T54" s="1251" t="s">
        <v>163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207</v>
      </c>
      <c r="B55" s="1269" t="s">
        <v>208</v>
      </c>
      <c r="C55" s="1240"/>
      <c r="D55" s="1240"/>
      <c r="E55" s="5382"/>
      <c r="F55" s="5381"/>
      <c r="G55" s="1240"/>
      <c r="H55" s="1240"/>
      <c r="I55" s="1240"/>
      <c r="J55" s="1240"/>
      <c r="K55" s="1240"/>
      <c r="L55" s="1265"/>
      <c r="M55" s="1247"/>
      <c r="N55" s="1247"/>
      <c r="P55" s="1242"/>
      <c r="Q55" s="1243"/>
      <c r="R55" s="1242"/>
      <c r="S55" s="1248"/>
      <c r="T55" s="1251" t="s">
        <v>164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207</v>
      </c>
      <c r="B56" s="1269"/>
      <c r="C56" s="1269"/>
      <c r="D56" s="1269"/>
      <c r="E56" s="5381"/>
      <c r="F56" s="1269"/>
      <c r="G56" s="1269"/>
      <c r="H56" s="1269"/>
      <c r="I56" s="1269"/>
      <c r="J56" s="1269"/>
      <c r="K56" s="1269"/>
      <c r="L56" s="1272"/>
      <c r="M56" s="1247"/>
      <c r="N56" s="1247"/>
      <c r="O56" s="454"/>
      <c r="P56" s="316"/>
      <c r="Q56" s="1270"/>
      <c r="R56" s="316"/>
      <c r="S56" s="1248"/>
      <c r="T56" s="1251" t="s">
        <v>165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5379"/>
      <c r="U59" s="5379"/>
      <c r="V59" s="5379"/>
      <c r="W59" s="5379"/>
      <c r="X59" s="5379"/>
      <c r="Y59" s="5379"/>
      <c r="Z59" s="5379"/>
      <c r="AA59" s="5379"/>
      <c r="AB59" s="5379"/>
      <c r="AC59" s="5379"/>
      <c r="AD59" s="5379"/>
      <c r="AE59" s="5379"/>
      <c r="AF59" s="5379"/>
      <c r="AG59" s="5379"/>
      <c r="AH59" s="5379"/>
      <c r="AI59" s="5379"/>
      <c r="AJ59" s="5379"/>
      <c r="AK59" s="5379"/>
      <c r="AL59" s="5379"/>
      <c r="AM59" s="5379"/>
      <c r="AS59" s="1081">
        <v>22</v>
      </c>
    </row>
    <row r="60" spans="1:45" ht="30.4" customHeight="1">
      <c r="O60" s="473"/>
      <c r="T60" s="5379"/>
      <c r="U60" s="5379"/>
      <c r="V60" s="5379"/>
      <c r="W60" s="5379"/>
      <c r="X60" s="5379"/>
      <c r="Y60" s="5379"/>
      <c r="Z60" s="5379"/>
      <c r="AA60" s="5379"/>
      <c r="AB60" s="5379"/>
      <c r="AC60" s="5379"/>
      <c r="AD60" s="5379"/>
      <c r="AE60" s="5379"/>
      <c r="AF60" s="5379"/>
      <c r="AG60" s="5379"/>
      <c r="AH60" s="5379"/>
      <c r="AI60" s="5379"/>
      <c r="AJ60" s="5379"/>
      <c r="AK60" s="5379"/>
      <c r="AL60" s="5379"/>
      <c r="AM60" s="5379"/>
      <c r="AS60" s="1081">
        <v>29</v>
      </c>
    </row>
    <row r="61" spans="1:45" ht="42" customHeight="1">
      <c r="O61" s="473"/>
      <c r="T61" s="5379"/>
      <c r="U61" s="5379"/>
      <c r="V61" s="5379"/>
      <c r="W61" s="5379"/>
      <c r="X61" s="5379"/>
      <c r="Y61" s="5379"/>
      <c r="Z61" s="5379"/>
      <c r="AA61" s="5379"/>
      <c r="AB61" s="5379"/>
      <c r="AC61" s="5379"/>
      <c r="AD61" s="5379"/>
      <c r="AE61" s="5379"/>
      <c r="AF61" s="5379"/>
      <c r="AG61" s="5379"/>
      <c r="AH61" s="5379"/>
      <c r="AI61" s="5379"/>
      <c r="AJ61" s="5379"/>
      <c r="AK61" s="5379"/>
      <c r="AL61" s="5379"/>
      <c r="AM61" s="5379"/>
      <c r="AS61" s="1081">
        <v>40</v>
      </c>
    </row>
    <row r="62" spans="1:45" ht="14.65" customHeight="1">
      <c r="O62" s="473"/>
      <c r="AS62" s="1081">
        <v>14</v>
      </c>
    </row>
    <row r="63" spans="1:45" ht="21" customHeight="1">
      <c r="O63" s="473"/>
      <c r="S63" s="1179"/>
      <c r="T63" s="5275"/>
      <c r="U63" s="5379"/>
      <c r="V63" s="5379"/>
      <c r="W63" s="5379"/>
      <c r="X63" s="5379"/>
      <c r="Y63" s="5379"/>
      <c r="Z63" s="5379"/>
      <c r="AA63" s="5379"/>
      <c r="AB63" s="5379"/>
      <c r="AC63" s="5379"/>
      <c r="AD63" s="5379"/>
      <c r="AE63" s="5379"/>
      <c r="AF63" s="5379"/>
      <c r="AG63" s="5379"/>
      <c r="AH63" s="5379"/>
      <c r="AI63" s="5379"/>
      <c r="AJ63" s="5379"/>
      <c r="AK63" s="5379"/>
      <c r="AL63" s="5379"/>
      <c r="AM63" s="5379"/>
      <c r="AS63" s="1081">
        <v>20</v>
      </c>
    </row>
    <row r="64" spans="1:45" ht="29.25" customHeight="1">
      <c r="O64" s="473"/>
      <c r="T64" s="5379"/>
      <c r="U64" s="5379"/>
      <c r="V64" s="5379"/>
      <c r="W64" s="5379"/>
      <c r="X64" s="5379"/>
      <c r="Y64" s="5379"/>
      <c r="Z64" s="5379"/>
      <c r="AA64" s="5379"/>
      <c r="AB64" s="5379"/>
      <c r="AC64" s="5379"/>
      <c r="AD64" s="5379"/>
      <c r="AE64" s="5379"/>
      <c r="AF64" s="5379"/>
      <c r="AG64" s="5379"/>
      <c r="AH64" s="5379"/>
      <c r="AI64" s="5379"/>
      <c r="AJ64" s="5379"/>
      <c r="AK64" s="5379"/>
      <c r="AL64" s="5379"/>
      <c r="AM64" s="5379"/>
      <c r="AS64" s="1081">
        <v>28</v>
      </c>
    </row>
    <row r="65" spans="1:45" ht="35.65" customHeight="1">
      <c r="T65" s="5379"/>
      <c r="U65" s="5379"/>
      <c r="V65" s="5379"/>
      <c r="W65" s="5379"/>
      <c r="X65" s="5379"/>
      <c r="Y65" s="5379"/>
      <c r="Z65" s="5379"/>
      <c r="AA65" s="5379"/>
      <c r="AB65" s="5379"/>
      <c r="AC65" s="5379"/>
      <c r="AD65" s="5379"/>
      <c r="AE65" s="5379"/>
      <c r="AF65" s="5379"/>
      <c r="AG65" s="5379"/>
      <c r="AH65" s="5379"/>
      <c r="AI65" s="5379"/>
      <c r="AJ65" s="5379"/>
      <c r="AK65" s="5379"/>
      <c r="AL65" s="5379"/>
      <c r="AM65" s="5379"/>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1" hidden="1" customWidth="1"/>
    <col min="15" max="15" width="23.42578125" style="1701"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5381">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5373"/>
      <c r="W2" s="5374"/>
      <c r="X2" s="5374"/>
      <c r="Y2" s="5374"/>
      <c r="Z2" s="5374"/>
      <c r="AA2" s="5374"/>
      <c r="AB2" s="5374"/>
      <c r="AC2" s="5375"/>
      <c r="AD2" s="5373" t="e">
        <f>INDEX(PT_DIFFERENTIATION_NTAR,MATCH(A2,PT_DIFFERENTIATION_NTAR_ID,0))</f>
        <v>#N/A</v>
      </c>
      <c r="AE2" s="5374"/>
      <c r="AF2" s="5374"/>
      <c r="AG2" s="5374"/>
      <c r="AH2" s="5374"/>
      <c r="AI2" s="5374"/>
      <c r="AJ2" s="5374"/>
      <c r="AK2" s="5374"/>
      <c r="AL2" s="5375"/>
      <c r="AM2" s="1184" t="s">
        <v>423</v>
      </c>
      <c r="AO2" s="436"/>
      <c r="AP2" s="436" t="str">
        <f t="shared" ref="AP2:AP15" si="0">IF(T2="","",T2)</f>
        <v>Наименование тарифа</v>
      </c>
      <c r="AQ2" s="436"/>
      <c r="AR2" s="436"/>
      <c r="AS2" s="1081">
        <v>0</v>
      </c>
    </row>
    <row r="3" spans="1:45" ht="21" hidden="1" customHeight="1">
      <c r="A3" s="1289"/>
      <c r="B3" s="1289"/>
      <c r="C3" s="1289"/>
      <c r="D3" s="1289"/>
      <c r="E3" s="5382"/>
      <c r="F3" s="5381">
        <v>1</v>
      </c>
      <c r="G3" s="1289"/>
      <c r="H3" s="1289"/>
      <c r="I3" s="1289"/>
      <c r="J3" s="1289"/>
      <c r="K3" s="1289"/>
      <c r="L3" s="1290"/>
      <c r="M3" s="1291"/>
      <c r="N3" s="1291"/>
      <c r="O3" s="1291"/>
      <c r="P3" s="1258"/>
      <c r="Q3" s="288"/>
      <c r="R3" s="289"/>
      <c r="S3" s="1262" t="e">
        <f>INDEX(PT_DIFFERENTIATION_NUM_TER,MATCH(B3,PT_DIFFERENTIATION_TER_ID,0))</f>
        <v>#N/A</v>
      </c>
      <c r="T3" s="245" t="s">
        <v>424</v>
      </c>
      <c r="U3" s="237"/>
      <c r="V3" s="5373"/>
      <c r="W3" s="5374"/>
      <c r="X3" s="5374"/>
      <c r="Y3" s="5374"/>
      <c r="Z3" s="5374"/>
      <c r="AA3" s="5374"/>
      <c r="AB3" s="5374"/>
      <c r="AC3" s="5375"/>
      <c r="AD3" s="5373" t="e">
        <f>INDEX(PT_DIFFERENTIATION_TER,MATCH(B3,PT_DIFFERENTIATION_TER_ID,0))</f>
        <v>#N/A</v>
      </c>
      <c r="AE3" s="5374"/>
      <c r="AF3" s="5374"/>
      <c r="AG3" s="5374"/>
      <c r="AH3" s="5374"/>
      <c r="AI3" s="5374"/>
      <c r="AJ3" s="5374"/>
      <c r="AK3" s="5374"/>
      <c r="AL3" s="5375"/>
      <c r="AM3" s="1184" t="s">
        <v>425</v>
      </c>
      <c r="AO3" s="436"/>
      <c r="AP3" s="436" t="str">
        <f t="shared" si="0"/>
        <v>Территория действия тарифа</v>
      </c>
      <c r="AQ3" s="436"/>
      <c r="AR3" s="436"/>
      <c r="AS3" s="1081">
        <v>0</v>
      </c>
    </row>
    <row r="4" spans="1:45" ht="23.25" hidden="1" customHeight="1">
      <c r="A4" s="1289"/>
      <c r="B4" s="1289"/>
      <c r="C4" s="1289"/>
      <c r="D4" s="1289"/>
      <c r="E4" s="5382"/>
      <c r="F4" s="5382"/>
      <c r="G4" s="5381">
        <v>1</v>
      </c>
      <c r="H4" s="1289"/>
      <c r="I4" s="1289"/>
      <c r="J4" s="1289"/>
      <c r="K4" s="1289"/>
      <c r="L4" s="1290"/>
      <c r="M4" s="1291"/>
      <c r="N4" s="1291"/>
      <c r="O4" s="1291"/>
      <c r="P4" s="290"/>
      <c r="Q4" s="288"/>
      <c r="R4" s="289"/>
      <c r="S4" s="1262" t="e">
        <f>INDEX(PT_DIFFERENTIATION_NUM_CS,MATCH(C4,PT_DIFFERENTIATION_CS_ID,0))</f>
        <v>#N/A</v>
      </c>
      <c r="T4" s="246" t="s">
        <v>426</v>
      </c>
      <c r="U4" s="237"/>
      <c r="V4" s="5373"/>
      <c r="W4" s="5374"/>
      <c r="X4" s="5374"/>
      <c r="Y4" s="5374"/>
      <c r="Z4" s="5374"/>
      <c r="AA4" s="5374"/>
      <c r="AB4" s="5374"/>
      <c r="AC4" s="5375"/>
      <c r="AD4" s="5373" t="e">
        <f>INDEX(PT_DIFFERENTIATION_CS,MATCH(C4,PT_DIFFERENTIATION_CS_ID,0))</f>
        <v>#N/A</v>
      </c>
      <c r="AE4" s="5374"/>
      <c r="AF4" s="5374"/>
      <c r="AG4" s="5374"/>
      <c r="AH4" s="5374"/>
      <c r="AI4" s="5374"/>
      <c r="AJ4" s="5374"/>
      <c r="AK4" s="5374"/>
      <c r="AL4" s="5375"/>
      <c r="AM4" s="1184" t="s">
        <v>427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5382"/>
      <c r="F5" s="5382"/>
      <c r="G5" s="5382"/>
      <c r="H5" s="5381">
        <v>1</v>
      </c>
      <c r="I5" s="1289"/>
      <c r="J5" s="1289"/>
      <c r="K5" s="1289"/>
      <c r="L5" s="1290"/>
      <c r="M5" s="1291"/>
      <c r="N5" s="1291"/>
      <c r="O5" s="1291"/>
      <c r="P5" s="290"/>
      <c r="Q5" s="288"/>
      <c r="R5" s="289"/>
      <c r="S5" s="1262" t="e">
        <f>INDEX(PT_DIFFERENTIATION_NUM_IST_TE,MATCH(D5,PT_DIFFERENTIATION_IST_TE_ID,0))</f>
        <v>#N/A</v>
      </c>
      <c r="T5" s="247" t="s">
        <v>428</v>
      </c>
      <c r="U5" s="237"/>
      <c r="V5" s="5373"/>
      <c r="W5" s="5374"/>
      <c r="X5" s="5374"/>
      <c r="Y5" s="5374"/>
      <c r="Z5" s="5374"/>
      <c r="AA5" s="5374"/>
      <c r="AB5" s="5374"/>
      <c r="AC5" s="5375"/>
      <c r="AD5" s="5373" t="e">
        <f>INDEX(PT_DIFFERENTIATION_IST_TE,MATCH(D5,PT_DIFFERENTIATION_IST_TE_ID,0))</f>
        <v>#N/A</v>
      </c>
      <c r="AE5" s="5374"/>
      <c r="AF5" s="5374"/>
      <c r="AG5" s="5374"/>
      <c r="AH5" s="5374"/>
      <c r="AI5" s="5374"/>
      <c r="AJ5" s="5374"/>
      <c r="AK5" s="5374"/>
      <c r="AL5" s="5375"/>
      <c r="AM5" s="1184" t="s">
        <v>429</v>
      </c>
      <c r="AO5" s="436"/>
      <c r="AP5" s="436" t="str">
        <f t="shared" si="0"/>
        <v xml:space="preserve">Источник тепловой энергии  </v>
      </c>
      <c r="AQ5" s="436"/>
      <c r="AR5" s="436"/>
      <c r="AS5" s="1081">
        <v>0</v>
      </c>
    </row>
    <row r="6" spans="1:45" ht="14.25" hidden="1" customHeight="1">
      <c r="A6" s="1289"/>
      <c r="B6" s="1289"/>
      <c r="C6" s="1289"/>
      <c r="D6" s="1289"/>
      <c r="E6" s="5382"/>
      <c r="F6" s="5382"/>
      <c r="G6" s="5382"/>
      <c r="H6" s="5382"/>
      <c r="I6" s="5383" t="e">
        <f>S5&amp;".1"</f>
        <v>#N/A</v>
      </c>
      <c r="J6" s="1289"/>
      <c r="K6" s="1289"/>
      <c r="L6" s="1290" t="s">
        <v>430</v>
      </c>
      <c r="M6" s="473"/>
      <c r="P6" s="5385">
        <v>1</v>
      </c>
      <c r="Q6" s="1257"/>
      <c r="R6" s="292"/>
      <c r="S6" s="971"/>
      <c r="T6" s="1309"/>
      <c r="U6" s="1310"/>
      <c r="V6" s="5420"/>
      <c r="W6" s="5421"/>
      <c r="X6" s="5421"/>
      <c r="Y6" s="5421"/>
      <c r="Z6" s="5421"/>
      <c r="AA6" s="5421"/>
      <c r="AB6" s="5421"/>
      <c r="AC6" s="5422"/>
      <c r="AD6" s="5420"/>
      <c r="AE6" s="5421"/>
      <c r="AF6" s="5421"/>
      <c r="AG6" s="5421"/>
      <c r="AH6" s="5421"/>
      <c r="AI6" s="5421"/>
      <c r="AJ6" s="5421"/>
      <c r="AK6" s="5421"/>
      <c r="AL6" s="5422"/>
      <c r="AM6" s="1311"/>
      <c r="AO6" s="436"/>
      <c r="AP6" s="436" t="str">
        <f t="shared" si="0"/>
        <v/>
      </c>
      <c r="AQ6" s="436"/>
      <c r="AR6" s="436"/>
      <c r="AS6" s="1081">
        <v>0</v>
      </c>
    </row>
    <row r="7" spans="1:45" ht="21" hidden="1" customHeight="1">
      <c r="A7" s="1289"/>
      <c r="B7" s="1289"/>
      <c r="C7" s="1289"/>
      <c r="D7" s="1289"/>
      <c r="E7" s="5382"/>
      <c r="F7" s="5382"/>
      <c r="G7" s="5382"/>
      <c r="H7" s="5382"/>
      <c r="I7" s="5384"/>
      <c r="J7" s="5383" t="e">
        <f>I6&amp;".1"</f>
        <v>#N/A</v>
      </c>
      <c r="K7" s="1289"/>
      <c r="L7" s="1290" t="s">
        <v>433</v>
      </c>
      <c r="M7" s="473"/>
      <c r="N7" s="1292"/>
      <c r="P7" s="5385"/>
      <c r="Q7" s="5385">
        <v>1</v>
      </c>
      <c r="R7" s="293"/>
      <c r="S7" s="1262" t="e">
        <f>$J7</f>
        <v>#N/A</v>
      </c>
      <c r="T7" s="223" t="s">
        <v>434</v>
      </c>
      <c r="U7" s="237"/>
      <c r="V7" s="5366"/>
      <c r="W7" s="5367"/>
      <c r="X7" s="5367"/>
      <c r="Y7" s="5367"/>
      <c r="Z7" s="5367"/>
      <c r="AA7" s="5367"/>
      <c r="AB7" s="5367"/>
      <c r="AC7" s="5368"/>
      <c r="AD7" s="5366"/>
      <c r="AE7" s="5367"/>
      <c r="AF7" s="5367"/>
      <c r="AG7" s="5367"/>
      <c r="AH7" s="5367"/>
      <c r="AI7" s="5367"/>
      <c r="AJ7" s="5367"/>
      <c r="AK7" s="5367"/>
      <c r="AL7" s="5368"/>
      <c r="AM7" s="1184" t="s">
        <v>435</v>
      </c>
      <c r="AO7" s="436"/>
      <c r="AP7" s="436" t="str">
        <f t="shared" si="0"/>
        <v>Группа потребителей</v>
      </c>
      <c r="AQ7" s="436"/>
      <c r="AR7" s="436"/>
      <c r="AS7" s="1081">
        <v>0</v>
      </c>
    </row>
    <row r="8" spans="1:45" ht="21" hidden="1" customHeight="1">
      <c r="A8" s="1289"/>
      <c r="B8" s="1289"/>
      <c r="C8" s="1289"/>
      <c r="D8" s="1289"/>
      <c r="E8" s="5382"/>
      <c r="F8" s="5382"/>
      <c r="G8" s="5382"/>
      <c r="H8" s="5382"/>
      <c r="I8" s="5384"/>
      <c r="J8" s="5384"/>
      <c r="K8" s="5383" t="e">
        <f>J7&amp;".1"</f>
        <v>#N/A</v>
      </c>
      <c r="L8" s="1290" t="s">
        <v>436</v>
      </c>
      <c r="M8" s="473"/>
      <c r="N8" s="1292"/>
      <c r="O8" s="1292"/>
      <c r="P8" s="5385"/>
      <c r="Q8" s="5385"/>
      <c r="R8" s="293">
        <v>1</v>
      </c>
      <c r="S8" s="1262" t="e">
        <f>$K8</f>
        <v>#N/A</v>
      </c>
      <c r="T8" s="1273"/>
      <c r="U8" s="237"/>
      <c r="V8" s="687"/>
      <c r="W8" s="262"/>
      <c r="X8" s="687"/>
      <c r="Y8" s="1183"/>
      <c r="Z8" s="5386"/>
      <c r="AA8" s="5245" t="s">
        <v>65</v>
      </c>
      <c r="AB8" s="5386"/>
      <c r="AC8" s="5245" t="s">
        <v>65</v>
      </c>
      <c r="AD8" s="687"/>
      <c r="AE8" s="262"/>
      <c r="AF8" s="687"/>
      <c r="AG8" s="1183"/>
      <c r="AH8" s="5386"/>
      <c r="AI8" s="5245" t="s">
        <v>65</v>
      </c>
      <c r="AJ8" s="5386"/>
      <c r="AK8" s="5245" t="s">
        <v>65</v>
      </c>
      <c r="AL8" s="262"/>
      <c r="AM8" s="5405" t="s">
        <v>437</v>
      </c>
      <c r="AN8" s="447" t="e">
        <f ca="1">STRCHECKDATE(V9:AL9)</f>
        <v>#NAME?</v>
      </c>
      <c r="AO8" s="436"/>
      <c r="AP8" s="436" t="str">
        <f t="shared" si="0"/>
        <v/>
      </c>
      <c r="AQ8" s="436"/>
      <c r="AR8" s="436"/>
      <c r="AS8" s="1081">
        <v>0</v>
      </c>
    </row>
    <row r="9" spans="1:45" ht="14.25" hidden="1" customHeight="1">
      <c r="A9" s="1289"/>
      <c r="B9" s="1289"/>
      <c r="C9" s="1289"/>
      <c r="D9" s="1289"/>
      <c r="E9" s="5382"/>
      <c r="F9" s="5382"/>
      <c r="G9" s="5382"/>
      <c r="H9" s="5382"/>
      <c r="I9" s="5384"/>
      <c r="J9" s="5384"/>
      <c r="K9" s="5383"/>
      <c r="L9" s="1290"/>
      <c r="M9" s="473"/>
      <c r="N9" s="1292"/>
      <c r="O9" s="1292"/>
      <c r="P9" s="5385"/>
      <c r="Q9" s="5385"/>
      <c r="R9" s="293"/>
      <c r="S9" s="1268"/>
      <c r="T9" s="237"/>
      <c r="U9" s="237"/>
      <c r="V9" s="262"/>
      <c r="W9" s="262"/>
      <c r="X9" s="262"/>
      <c r="Y9" s="265" t="str">
        <f>Z8&amp;"-"&amp;AB8</f>
        <v>-</v>
      </c>
      <c r="Z9" s="5387"/>
      <c r="AA9" s="5245"/>
      <c r="AB9" s="5387"/>
      <c r="AC9" s="5245"/>
      <c r="AD9" s="262"/>
      <c r="AE9" s="262"/>
      <c r="AF9" s="262"/>
      <c r="AG9" s="265" t="str">
        <f>AH8&amp;"-"&amp;AJ8</f>
        <v>-</v>
      </c>
      <c r="AH9" s="5387"/>
      <c r="AI9" s="5245"/>
      <c r="AJ9" s="5387"/>
      <c r="AK9" s="5245"/>
      <c r="AL9" s="262"/>
      <c r="AM9" s="5406"/>
      <c r="AO9" s="436"/>
      <c r="AP9" s="436" t="str">
        <f t="shared" si="0"/>
        <v/>
      </c>
      <c r="AQ9" s="436"/>
      <c r="AR9" s="436"/>
      <c r="AS9" s="1081">
        <v>0</v>
      </c>
    </row>
    <row r="10" spans="1:45" ht="15" hidden="1" customHeight="1">
      <c r="A10" s="1289"/>
      <c r="B10" s="1289"/>
      <c r="C10" s="1289"/>
      <c r="D10" s="1289"/>
      <c r="E10" s="5382"/>
      <c r="F10" s="5382"/>
      <c r="G10" s="5382"/>
      <c r="H10" s="5382"/>
      <c r="I10" s="5384"/>
      <c r="J10" s="5383"/>
      <c r="K10" s="1289"/>
      <c r="L10" s="1290"/>
      <c r="M10" s="473"/>
      <c r="N10" s="1292"/>
      <c r="P10" s="5385"/>
      <c r="Q10" s="5385"/>
      <c r="R10" s="292"/>
      <c r="S10" s="1204"/>
      <c r="T10" s="224" t="s">
        <v>438</v>
      </c>
      <c r="U10" s="303"/>
      <c r="V10" s="303"/>
      <c r="W10" s="303"/>
      <c r="X10" s="303"/>
      <c r="Y10" s="303"/>
      <c r="Z10" s="303"/>
      <c r="AA10" s="303"/>
      <c r="AB10" s="303"/>
      <c r="AC10" s="303"/>
      <c r="AD10" s="303"/>
      <c r="AE10" s="303"/>
      <c r="AF10" s="303"/>
      <c r="AG10" s="303"/>
      <c r="AH10" s="303"/>
      <c r="AI10" s="303"/>
      <c r="AJ10" s="303"/>
      <c r="AK10" s="303"/>
      <c r="AL10" s="261"/>
      <c r="AM10" s="540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5382"/>
      <c r="F11" s="5382"/>
      <c r="G11" s="5382"/>
      <c r="H11" s="5382"/>
      <c r="I11" s="5383"/>
      <c r="J11" s="1289"/>
      <c r="K11" s="1289"/>
      <c r="L11" s="1290"/>
      <c r="M11" s="473"/>
      <c r="P11" s="5385"/>
      <c r="Q11" s="1257"/>
      <c r="R11" s="292"/>
      <c r="S11" s="1204"/>
      <c r="T11" s="301" t="s">
        <v>439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5382"/>
      <c r="F12" s="5382"/>
      <c r="G12" s="5382"/>
      <c r="H12" s="538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5382"/>
      <c r="F13" s="5382"/>
      <c r="G13" s="5381"/>
      <c r="H13" s="1240"/>
      <c r="I13" s="1240"/>
      <c r="J13" s="1240"/>
      <c r="K13" s="1240"/>
      <c r="L13" s="1265"/>
      <c r="M13" s="1241"/>
      <c r="N13" s="1241"/>
      <c r="P13" s="1242"/>
      <c r="Q13" s="1243"/>
      <c r="R13" s="1242"/>
      <c r="S13" s="1244"/>
      <c r="T13" s="1245" t="s">
        <v>163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5382"/>
      <c r="F14" s="5381"/>
      <c r="G14" s="1240"/>
      <c r="H14" s="1240"/>
      <c r="I14" s="1240"/>
      <c r="J14" s="1240"/>
      <c r="K14" s="1240"/>
      <c r="L14" s="1265"/>
      <c r="M14" s="1247"/>
      <c r="N14" s="1247"/>
      <c r="P14" s="1242"/>
      <c r="Q14" s="1243"/>
      <c r="R14" s="1242"/>
      <c r="S14" s="1248"/>
      <c r="T14" s="1249" t="s">
        <v>164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5381"/>
      <c r="F15" s="1240"/>
      <c r="G15" s="1240"/>
      <c r="H15" s="1240"/>
      <c r="I15" s="1240"/>
      <c r="J15" s="1240"/>
      <c r="K15" s="1240"/>
      <c r="L15" s="1265"/>
      <c r="M15" s="1247"/>
      <c r="N15" s="1247"/>
      <c r="P15" s="1242"/>
      <c r="Q15" s="1243"/>
      <c r="R15" s="1242"/>
      <c r="S15" s="1248"/>
      <c r="T15" s="1251" t="s">
        <v>165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5378"/>
      <c r="AI17" s="5377" t="s">
        <v>65</v>
      </c>
      <c r="AJ17" s="5378"/>
      <c r="AK17" s="5377" t="s">
        <v>65</v>
      </c>
      <c r="AS17" s="1081">
        <v>0</v>
      </c>
    </row>
    <row r="18" spans="1:45" ht="14.25" hidden="1" customHeight="1">
      <c r="AD18" s="1286"/>
      <c r="AE18" s="1286"/>
      <c r="AF18" s="1286"/>
      <c r="AG18" s="265" t="str">
        <f>AH17&amp;"-"&amp;AJ17</f>
        <v>-</v>
      </c>
      <c r="AH18" s="5377"/>
      <c r="AI18" s="5377"/>
      <c r="AJ18" s="5377"/>
      <c r="AK18" s="5377"/>
      <c r="AS18" s="1081">
        <v>0</v>
      </c>
    </row>
    <row r="19" spans="1:45" ht="14.25" hidden="1" customHeight="1">
      <c r="AK19" s="264"/>
      <c r="AS19" s="1081">
        <v>0</v>
      </c>
    </row>
    <row r="20" spans="1:45" s="1292" customFormat="1" ht="22.5" hidden="1" customHeight="1">
      <c r="L20" s="1255"/>
      <c r="M20" s="1288"/>
      <c r="N20" s="1288"/>
      <c r="O20" s="1293" t="s">
        <v>441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442</v>
      </c>
      <c r="P22" s="1288"/>
      <c r="Q22" s="1297"/>
      <c r="R22" s="1297"/>
      <c r="S22" s="665"/>
      <c r="T22" s="1086" t="s">
        <v>443</v>
      </c>
      <c r="AA22" s="124" t="s">
        <v>444</v>
      </c>
      <c r="AC22" s="124" t="s">
        <v>445</v>
      </c>
      <c r="AD22" s="1086" t="s">
        <v>443</v>
      </c>
      <c r="AI22" s="124" t="s">
        <v>446</v>
      </c>
      <c r="AK22" s="124" t="s">
        <v>445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535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359"/>
      <c r="U26" s="5359"/>
      <c r="V26" s="5359"/>
      <c r="W26" s="5359"/>
      <c r="X26" s="5359"/>
      <c r="Y26" s="5359"/>
      <c r="Z26" s="5359"/>
      <c r="AA26" s="5359"/>
      <c r="AB26" s="5359"/>
      <c r="AC26" s="5359"/>
      <c r="AD26" s="5359"/>
      <c r="AE26" s="5359"/>
      <c r="AF26" s="5359"/>
      <c r="AG26" s="5359"/>
      <c r="AH26" s="5359"/>
      <c r="AI26" s="5359"/>
      <c r="AJ26" s="5359"/>
      <c r="AK26" s="1169"/>
      <c r="AS26" s="1081">
        <v>51</v>
      </c>
    </row>
    <row r="27" spans="1:45" ht="14.65" customHeight="1">
      <c r="Q27" s="312"/>
      <c r="R27" s="312"/>
      <c r="S27" s="5331" t="str">
        <f>IF(org=0,"Не определено",org)</f>
        <v>ПАО "ТГК-1" филиал "Невский"</v>
      </c>
      <c r="T27" s="5331"/>
      <c r="U27" s="5331"/>
      <c r="V27" s="5331"/>
      <c r="W27" s="5331"/>
      <c r="X27" s="5331"/>
      <c r="Y27" s="5331"/>
      <c r="Z27" s="5331"/>
      <c r="AA27" s="5331"/>
      <c r="AB27" s="5331"/>
      <c r="AC27" s="5331"/>
      <c r="AD27" s="5331"/>
      <c r="AE27" s="5331"/>
      <c r="AF27" s="5331"/>
      <c r="AG27" s="5331"/>
      <c r="AH27" s="5331"/>
      <c r="AI27" s="5331"/>
      <c r="AJ27" s="5331"/>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5370" t="s">
        <v>42</v>
      </c>
      <c r="T29" s="5370"/>
      <c r="U29" s="1298"/>
      <c r="V29" s="5372" t="str">
        <f>IF(TITLE_NAME_OR_PR_CHANGE="",IF(TITLE_NAME_OR_PR="","",TITLE_NAME_OR_PR),TITLE_NAME_OR_PR_CHANGE)</f>
        <v>Комитет по тарифам Санкт-Петербурга</v>
      </c>
      <c r="W29" s="5372"/>
      <c r="X29" s="5372"/>
      <c r="Y29" s="5372"/>
      <c r="Z29" s="5372"/>
      <c r="AA29" s="5372"/>
      <c r="AB29" s="5372"/>
      <c r="AC29" s="263"/>
      <c r="AD29" s="5372" t="str">
        <f>IF(TITLE_NAME_OR_PR_CHANGE="",IF(TITLE_NAME_OR_PR="","",TITLE_NAME_OR_PR),TITLE_NAME_OR_PR_CHANGE)</f>
        <v>Комитет по тарифам Санкт-Петербурга</v>
      </c>
      <c r="AE29" s="5372"/>
      <c r="AF29" s="5372"/>
      <c r="AG29" s="5372"/>
      <c r="AH29" s="5372"/>
      <c r="AI29" s="5372"/>
      <c r="AJ29" s="5372"/>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5370" t="s">
        <v>447</v>
      </c>
      <c r="T30" s="5370"/>
      <c r="U30" s="1298"/>
      <c r="V30" s="5371">
        <f>IF(TITLE_DATE_PR_CHANGE="",IF(TITLE_DATE_PR="","",TITLE_DATE_PR),TITLE_DATE_PR_CHANGE)</f>
        <v>45470</v>
      </c>
      <c r="W30" s="5371"/>
      <c r="X30" s="5371"/>
      <c r="Y30" s="5371"/>
      <c r="Z30" s="5371"/>
      <c r="AA30" s="5371"/>
      <c r="AB30" s="5371"/>
      <c r="AC30" s="263"/>
      <c r="AD30" s="5371">
        <f>IF(TITLE_DATE_PR_CHANGE="",IF(TITLE_DATE_PR="","",TITLE_DATE_PR),TITLE_DATE_PR_CHANGE)</f>
        <v>45470</v>
      </c>
      <c r="AE30" s="5371"/>
      <c r="AF30" s="5371"/>
      <c r="AG30" s="5371"/>
      <c r="AH30" s="5371"/>
      <c r="AI30" s="5371"/>
      <c r="AJ30" s="5371"/>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5370" t="s">
        <v>448</v>
      </c>
      <c r="T31" s="5370"/>
      <c r="U31" s="1298"/>
      <c r="V31" s="5372" t="str">
        <f>IF(TITLE_NUMBER_PR_CHANGE="",IF(TITLE_NUMBER_PR="","",TITLE_NUMBER_PR),TITLE_NUMBER_PR_CHANGE)</f>
        <v>94-р</v>
      </c>
      <c r="W31" s="5372"/>
      <c r="X31" s="5372"/>
      <c r="Y31" s="5372"/>
      <c r="Z31" s="5372"/>
      <c r="AA31" s="5372"/>
      <c r="AB31" s="5372"/>
      <c r="AC31" s="263"/>
      <c r="AD31" s="5372" t="str">
        <f>IF(TITLE_NUMBER_PR_CHANGE="",IF(TITLE_NUMBER_PR="","",TITLE_NUMBER_PR),TITLE_NUMBER_PR_CHANGE)</f>
        <v>94-р</v>
      </c>
      <c r="AE31" s="5372"/>
      <c r="AF31" s="5372"/>
      <c r="AG31" s="5372"/>
      <c r="AH31" s="5372"/>
      <c r="AI31" s="5372"/>
      <c r="AJ31" s="5372"/>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5370" t="s">
        <v>44</v>
      </c>
      <c r="T32" s="5370"/>
      <c r="U32" s="1298"/>
      <c r="V32" s="5372" t="str">
        <f>IF(TITLE_IST_PUB_CHANGE="",IF(TITLE_IST_PUB="","",TITLE_IST_PUB),TITLE_IST_PUB_CHANGE)</f>
        <v>http://publication.pravo.gov.ru/document/7801202407010029</v>
      </c>
      <c r="W32" s="5372"/>
      <c r="X32" s="5372"/>
      <c r="Y32" s="5372"/>
      <c r="Z32" s="5372"/>
      <c r="AA32" s="5372"/>
      <c r="AB32" s="5372"/>
      <c r="AC32" s="263"/>
      <c r="AD32" s="5372" t="str">
        <f>IF(TITLE_IST_PUB_CHANGE="",IF(TITLE_IST_PUB="","",TITLE_IST_PUB),TITLE_IST_PUB_CHANGE)</f>
        <v>http://publication.pravo.gov.ru/document/7801202407010029</v>
      </c>
      <c r="AE32" s="5372"/>
      <c r="AF32" s="5372"/>
      <c r="AG32" s="5372"/>
      <c r="AH32" s="5372"/>
      <c r="AI32" s="5372"/>
      <c r="AJ32" s="5372"/>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5370" t="s">
        <v>449</v>
      </c>
      <c r="T34" s="5370"/>
      <c r="U34" s="1298"/>
      <c r="V34" s="5371">
        <f>IF(TITLE_DATE_PR_CHANGE="",IF(TITLE_DATE_PR="","",TITLE_DATE_PR),TITLE_DATE_PR_CHANGE)</f>
        <v>45470</v>
      </c>
      <c r="W34" s="5371"/>
      <c r="X34" s="5371"/>
      <c r="Y34" s="5371"/>
      <c r="Z34" s="5371"/>
      <c r="AA34" s="5371"/>
      <c r="AB34" s="5371"/>
      <c r="AC34" s="263"/>
      <c r="AD34" s="5371">
        <f>IF(TITLE_DATE_PR_CHANGE="",IF(TITLE_DATE_PR="","",TITLE_DATE_PR),TITLE_DATE_PR_CHANGE)</f>
        <v>45470</v>
      </c>
      <c r="AE34" s="5371"/>
      <c r="AF34" s="5371"/>
      <c r="AG34" s="5371"/>
      <c r="AH34" s="5371"/>
      <c r="AI34" s="5371"/>
      <c r="AJ34" s="5371"/>
      <c r="AK34" s="263"/>
      <c r="AL34" s="263"/>
      <c r="AM34" s="217"/>
      <c r="AN34" s="304"/>
      <c r="AO34" s="304"/>
      <c r="AP34" s="304"/>
      <c r="AQ34" s="304"/>
      <c r="AR34" s="304"/>
      <c r="AS34" s="354">
        <v>0</v>
      </c>
    </row>
    <row r="35" spans="1:45" s="1777" customFormat="1" ht="25.5" hidden="1" customHeight="1">
      <c r="A35" s="1294"/>
      <c r="B35" s="1294"/>
      <c r="C35" s="1294"/>
      <c r="D35" s="1294"/>
      <c r="E35" s="1294"/>
      <c r="F35" s="1294"/>
      <c r="G35" s="1294"/>
      <c r="H35" s="1294"/>
      <c r="I35" s="1294"/>
      <c r="J35" s="1294"/>
      <c r="K35" s="1294"/>
      <c r="L35" s="1295"/>
      <c r="M35" s="1294"/>
      <c r="N35" s="1294"/>
      <c r="O35" s="1294"/>
      <c r="S35" s="5370" t="s">
        <v>450</v>
      </c>
      <c r="T35" s="5370"/>
      <c r="U35" s="1298"/>
      <c r="V35" s="5372" t="str">
        <f>IF(TITLE_NUMBER_PR_CHANGE="",IF(TITLE_NUMBER_PR="","",TITLE_NUMBER_PR),TITLE_NUMBER_PR_CHANGE)</f>
        <v>94-р</v>
      </c>
      <c r="W35" s="5372"/>
      <c r="X35" s="5372"/>
      <c r="Y35" s="5372"/>
      <c r="Z35" s="5372"/>
      <c r="AA35" s="5372"/>
      <c r="AB35" s="5372"/>
      <c r="AC35" s="263"/>
      <c r="AD35" s="5372" t="str">
        <f>IF(TITLE_NUMBER_PR_CHANGE="",IF(TITLE_NUMBER_PR="","",TITLE_NUMBER_PR),TITLE_NUMBER_PR_CHANGE)</f>
        <v>94-р</v>
      </c>
      <c r="AE35" s="5372"/>
      <c r="AF35" s="5372"/>
      <c r="AG35" s="5372"/>
      <c r="AH35" s="5372"/>
      <c r="AI35" s="5372"/>
      <c r="AJ35" s="5372"/>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451</v>
      </c>
      <c r="AD36" s="263"/>
      <c r="AE36" s="263"/>
      <c r="AF36" s="263"/>
      <c r="AG36" s="263"/>
      <c r="AH36" s="263"/>
      <c r="AI36" s="263"/>
      <c r="AJ36" s="263"/>
      <c r="AK36" s="215" t="s">
        <v>451</v>
      </c>
      <c r="AN36" s="304"/>
      <c r="AO36" s="304"/>
      <c r="AP36" s="304"/>
      <c r="AQ36" s="304"/>
      <c r="AR36" s="304"/>
      <c r="AS36" s="354">
        <v>0</v>
      </c>
    </row>
    <row r="37" spans="1:45" ht="14.65" customHeight="1">
      <c r="Q37" s="312"/>
      <c r="R37" s="312"/>
      <c r="S37" s="1201"/>
      <c r="T37" s="299"/>
      <c r="U37" s="1170"/>
      <c r="V37" s="5393"/>
      <c r="W37" s="5393"/>
      <c r="X37" s="5393"/>
      <c r="Y37" s="5393"/>
      <c r="Z37" s="5393"/>
      <c r="AA37" s="5393"/>
      <c r="AB37" s="5393"/>
      <c r="AC37" s="5393"/>
      <c r="AD37" s="5393"/>
      <c r="AE37" s="5393"/>
      <c r="AF37" s="5393"/>
      <c r="AG37" s="5393"/>
      <c r="AH37" s="5393"/>
      <c r="AI37" s="5393"/>
      <c r="AJ37" s="5393"/>
      <c r="AK37" s="5393"/>
      <c r="AS37" s="1081">
        <v>14</v>
      </c>
    </row>
    <row r="38" spans="1:45" ht="14.65" customHeight="1">
      <c r="Q38" s="312"/>
      <c r="R38" s="312"/>
      <c r="S38" s="5235" t="s">
        <v>327</v>
      </c>
      <c r="T38" s="5235"/>
      <c r="U38" s="5235"/>
      <c r="V38" s="5235"/>
      <c r="W38" s="5235"/>
      <c r="X38" s="5235"/>
      <c r="Y38" s="5235"/>
      <c r="Z38" s="5235"/>
      <c r="AA38" s="5235"/>
      <c r="AB38" s="5235"/>
      <c r="AC38" s="5235"/>
      <c r="AD38" s="5235"/>
      <c r="AE38" s="5235"/>
      <c r="AF38" s="5235"/>
      <c r="AG38" s="5235"/>
      <c r="AH38" s="5235"/>
      <c r="AI38" s="5235"/>
      <c r="AJ38" s="5235"/>
      <c r="AK38" s="5235"/>
      <c r="AL38" s="5235"/>
      <c r="AM38" s="5235" t="s">
        <v>328</v>
      </c>
      <c r="AS38" s="1081">
        <v>14</v>
      </c>
    </row>
    <row r="39" spans="1:45" ht="14.65" customHeight="1">
      <c r="Q39" s="312"/>
      <c r="R39" s="312"/>
      <c r="S39" s="5395" t="s">
        <v>90</v>
      </c>
      <c r="T39" s="5339" t="s">
        <v>452</v>
      </c>
      <c r="U39" s="238"/>
      <c r="V39" s="5396" t="s">
        <v>453</v>
      </c>
      <c r="W39" s="5397"/>
      <c r="X39" s="5397"/>
      <c r="Y39" s="5397"/>
      <c r="Z39" s="5397"/>
      <c r="AA39" s="5397"/>
      <c r="AB39" s="5398"/>
      <c r="AC39" s="5399" t="s">
        <v>454</v>
      </c>
      <c r="AD39" s="5396" t="s">
        <v>453</v>
      </c>
      <c r="AE39" s="5397"/>
      <c r="AF39" s="5397"/>
      <c r="AG39" s="5397"/>
      <c r="AH39" s="5397"/>
      <c r="AI39" s="5397"/>
      <c r="AJ39" s="5398"/>
      <c r="AK39" s="5399" t="s">
        <v>455</v>
      </c>
      <c r="AL39" s="5402" t="s">
        <v>456</v>
      </c>
      <c r="AM39" s="5235"/>
      <c r="AS39" s="1081">
        <v>14</v>
      </c>
    </row>
    <row r="40" spans="1:45" ht="35.65" customHeight="1">
      <c r="Q40" s="312"/>
      <c r="R40" s="312"/>
      <c r="S40" s="5395"/>
      <c r="T40" s="5339"/>
      <c r="U40" s="960"/>
      <c r="V40" s="5311" t="s">
        <v>457</v>
      </c>
      <c r="W40" s="5390"/>
      <c r="X40" s="5217" t="s">
        <v>459</v>
      </c>
      <c r="Y40" s="5216"/>
      <c r="Z40" s="5217" t="s">
        <v>460</v>
      </c>
      <c r="AA40" s="5222"/>
      <c r="AB40" s="5216"/>
      <c r="AC40" s="5400"/>
      <c r="AD40" s="5311" t="s">
        <v>478</v>
      </c>
      <c r="AE40" s="5390"/>
      <c r="AF40" s="5217" t="s">
        <v>459</v>
      </c>
      <c r="AG40" s="5216"/>
      <c r="AH40" s="5217" t="s">
        <v>460</v>
      </c>
      <c r="AI40" s="5222"/>
      <c r="AJ40" s="5216"/>
      <c r="AK40" s="5400"/>
      <c r="AL40" s="5403"/>
      <c r="AM40" s="5235"/>
      <c r="AS40" s="1081">
        <v>34</v>
      </c>
    </row>
    <row r="41" spans="1:45" ht="35.65" customHeight="1">
      <c r="A41" s="1296"/>
      <c r="B41" s="1296" t="s">
        <v>137</v>
      </c>
      <c r="C41" s="1296" t="s">
        <v>138</v>
      </c>
      <c r="D41" s="1296" t="s">
        <v>139</v>
      </c>
      <c r="E41" s="1290" t="s">
        <v>461</v>
      </c>
      <c r="F41" s="1290" t="s">
        <v>462</v>
      </c>
      <c r="G41" s="1290" t="s">
        <v>463</v>
      </c>
      <c r="H41" s="1290" t="s">
        <v>464</v>
      </c>
      <c r="I41" s="1290" t="s">
        <v>465</v>
      </c>
      <c r="J41" s="1290" t="s">
        <v>466</v>
      </c>
      <c r="K41" s="1290" t="s">
        <v>467</v>
      </c>
      <c r="L41" s="1290" t="s">
        <v>442</v>
      </c>
      <c r="Q41" s="312"/>
      <c r="R41" s="312"/>
      <c r="S41" s="5395"/>
      <c r="T41" s="5339"/>
      <c r="U41" s="239"/>
      <c r="V41" s="5364"/>
      <c r="W41" s="5391"/>
      <c r="X41" s="1148" t="s">
        <v>468</v>
      </c>
      <c r="Y41" s="1148" t="s">
        <v>469</v>
      </c>
      <c r="Z41" s="1264" t="s">
        <v>470</v>
      </c>
      <c r="AA41" s="5344" t="s">
        <v>471</v>
      </c>
      <c r="AB41" s="5358"/>
      <c r="AC41" s="5401"/>
      <c r="AD41" s="5364"/>
      <c r="AE41" s="5391"/>
      <c r="AF41" s="1148" t="s">
        <v>468</v>
      </c>
      <c r="AG41" s="1148" t="s">
        <v>469</v>
      </c>
      <c r="AH41" s="1264" t="s">
        <v>470</v>
      </c>
      <c r="AI41" s="5344" t="s">
        <v>471</v>
      </c>
      <c r="AJ41" s="5358"/>
      <c r="AK41" s="5401"/>
      <c r="AL41" s="5404"/>
      <c r="AM41" s="5235"/>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5392">
        <f ca="1">OFFSET(AA42,0,-1)+1</f>
        <v>4</v>
      </c>
      <c r="AB42" s="5392"/>
      <c r="AC42" s="1261">
        <f ca="1">OFFSET(AC42,0,-2)+1</f>
        <v>5</v>
      </c>
      <c r="AD42" s="1261">
        <f ca="1">OFFSET(AD42,0,-1)+1</f>
        <v>6</v>
      </c>
      <c r="AE42" s="1261"/>
      <c r="AF42" s="1261">
        <f ca="1">OFFSET(AF42,0,-1)+1</f>
        <v>1</v>
      </c>
      <c r="AG42" s="1261">
        <f ca="1">OFFSET(AG42,0,-1)+1</f>
        <v>2</v>
      </c>
      <c r="AH42" s="1261">
        <f ca="1">OFFSET(AH42,0,-1)+1</f>
        <v>3</v>
      </c>
      <c r="AI42" s="5392">
        <f ca="1">OFFSET(AI42,0,-1)+1</f>
        <v>4</v>
      </c>
      <c r="AJ42" s="5392"/>
      <c r="AK42" s="1261">
        <f ca="1">OFFSET(AK42,0,-2)+1</f>
        <v>5</v>
      </c>
      <c r="AL42" s="1171">
        <f ca="1">OFFSET(AL42,0,-1)</f>
        <v>5</v>
      </c>
      <c r="AM42" s="1261">
        <f ca="1">OFFSET(AM42,0,-1)+1</f>
        <v>6</v>
      </c>
      <c r="AN42" s="447"/>
      <c r="AO42" s="447"/>
      <c r="AP42" s="447"/>
      <c r="AQ42" s="447"/>
      <c r="AR42" s="447"/>
      <c r="AS42" s="432">
        <v>0</v>
      </c>
    </row>
    <row r="43" spans="1:45" ht="21.95" customHeight="1">
      <c r="A43" s="1289" t="s">
        <v>213</v>
      </c>
      <c r="B43" s="1289"/>
      <c r="C43" s="1289"/>
      <c r="D43" s="1289"/>
      <c r="E43" s="538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5373"/>
      <c r="W43" s="5374"/>
      <c r="X43" s="5374"/>
      <c r="Y43" s="5374"/>
      <c r="Z43" s="5374"/>
      <c r="AA43" s="5374"/>
      <c r="AB43" s="5374"/>
      <c r="AC43" s="5375"/>
      <c r="AD43" s="5373" t="str">
        <f>INDEX(PT_DIFFERENTIATION_NTAR,MATCH(A43,PT_DIFFERENTIATION_NTAR_ID,0))</f>
        <v/>
      </c>
      <c r="AE43" s="5374"/>
      <c r="AF43" s="5374"/>
      <c r="AG43" s="5374"/>
      <c r="AH43" s="5374"/>
      <c r="AI43" s="5374"/>
      <c r="AJ43" s="5374"/>
      <c r="AK43" s="5374"/>
      <c r="AL43" s="537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213</v>
      </c>
      <c r="B44" s="1289" t="s">
        <v>214</v>
      </c>
      <c r="C44" s="1289"/>
      <c r="D44" s="1289"/>
      <c r="E44" s="5382"/>
      <c r="F44" s="5381">
        <v>1</v>
      </c>
      <c r="G44" s="1289"/>
      <c r="H44" s="1289"/>
      <c r="I44" s="1289"/>
      <c r="J44" s="1289"/>
      <c r="K44" s="1289"/>
      <c r="L44" s="1290"/>
      <c r="M44" s="1291"/>
      <c r="N44" s="1291"/>
      <c r="O44" s="1291"/>
      <c r="P44" s="1258"/>
      <c r="Q44" s="288"/>
      <c r="R44" s="289"/>
      <c r="S44" s="1262" t="str">
        <f>INDEX(PT_DIFFERENTIATION_NUM_TER,MATCH(B44,PT_DIFFERENTIATION_TER_ID,0))</f>
        <v>.</v>
      </c>
      <c r="T44" s="245" t="s">
        <v>424</v>
      </c>
      <c r="U44" s="237"/>
      <c r="V44" s="5373"/>
      <c r="W44" s="5374"/>
      <c r="X44" s="5374"/>
      <c r="Y44" s="5374"/>
      <c r="Z44" s="5374"/>
      <c r="AA44" s="5374"/>
      <c r="AB44" s="5374"/>
      <c r="AC44" s="5375"/>
      <c r="AD44" s="5373" t="str">
        <f>INDEX(PT_DIFFERENTIATION_TER,MATCH(B44,PT_DIFFERENTIATION_TER_ID,0))</f>
        <v/>
      </c>
      <c r="AE44" s="5374"/>
      <c r="AF44" s="5374"/>
      <c r="AG44" s="5374"/>
      <c r="AH44" s="5374"/>
      <c r="AI44" s="5374"/>
      <c r="AJ44" s="5374"/>
      <c r="AK44" s="5374"/>
      <c r="AL44" s="5375"/>
      <c r="AM44" s="1184" t="s">
        <v>425</v>
      </c>
      <c r="AO44" s="436"/>
      <c r="AP44" s="436" t="str">
        <f t="shared" si="1"/>
        <v>Территория действия тарифа</v>
      </c>
      <c r="AQ44" s="436"/>
      <c r="AR44" s="436"/>
      <c r="AS44" s="1081">
        <v>21</v>
      </c>
    </row>
    <row r="45" spans="1:45" ht="24" customHeight="1">
      <c r="A45" s="1289" t="s">
        <v>213</v>
      </c>
      <c r="B45" s="1289" t="s">
        <v>214</v>
      </c>
      <c r="C45" s="1289" t="s">
        <v>215</v>
      </c>
      <c r="D45" s="1289"/>
      <c r="E45" s="5382"/>
      <c r="F45" s="5382"/>
      <c r="G45" s="5381">
        <v>1</v>
      </c>
      <c r="H45" s="1289"/>
      <c r="I45" s="1289"/>
      <c r="J45" s="1289"/>
      <c r="K45" s="1289"/>
      <c r="L45" s="1290"/>
      <c r="M45" s="1291"/>
      <c r="N45" s="1291"/>
      <c r="O45" s="1291"/>
      <c r="P45" s="290"/>
      <c r="Q45" s="288"/>
      <c r="R45" s="289"/>
      <c r="S45" s="1262" t="str">
        <f>INDEX(PT_DIFFERENTIATION_NUM_CS,MATCH(C45,PT_DIFFERENTIATION_CS_ID,0))</f>
        <v>..</v>
      </c>
      <c r="T45" s="246" t="s">
        <v>426</v>
      </c>
      <c r="U45" s="237"/>
      <c r="V45" s="5373"/>
      <c r="W45" s="5374"/>
      <c r="X45" s="5374"/>
      <c r="Y45" s="5374"/>
      <c r="Z45" s="5374"/>
      <c r="AA45" s="5374"/>
      <c r="AB45" s="5374"/>
      <c r="AC45" s="5375"/>
      <c r="AD45" s="5373" t="str">
        <f>INDEX(PT_DIFFERENTIATION_CS,MATCH(C45,PT_DIFFERENTIATION_CS_ID,0))</f>
        <v/>
      </c>
      <c r="AE45" s="5374"/>
      <c r="AF45" s="5374"/>
      <c r="AG45" s="5374"/>
      <c r="AH45" s="5374"/>
      <c r="AI45" s="5374"/>
      <c r="AJ45" s="5374"/>
      <c r="AK45" s="5374"/>
      <c r="AL45" s="5375"/>
      <c r="AM45" s="1184" t="s">
        <v>427</v>
      </c>
      <c r="AO45" s="436"/>
      <c r="AP45" s="436" t="str">
        <f t="shared" si="1"/>
        <v xml:space="preserve">Наименование системы теплоснабжения </v>
      </c>
      <c r="AQ45" s="436"/>
      <c r="AR45" s="436"/>
      <c r="AS45" s="1081">
        <v>23</v>
      </c>
    </row>
    <row r="46" spans="1:45" ht="21.95" customHeight="1">
      <c r="A46" s="1289" t="s">
        <v>213</v>
      </c>
      <c r="B46" s="1289" t="s">
        <v>214</v>
      </c>
      <c r="C46" s="1289" t="s">
        <v>215</v>
      </c>
      <c r="D46" s="1289" t="s">
        <v>216</v>
      </c>
      <c r="E46" s="5382"/>
      <c r="F46" s="5382"/>
      <c r="G46" s="5382"/>
      <c r="H46" s="5381">
        <v>1</v>
      </c>
      <c r="I46" s="1289"/>
      <c r="J46" s="1289"/>
      <c r="K46" s="1289"/>
      <c r="L46" s="1290"/>
      <c r="M46" s="1291"/>
      <c r="N46" s="1291"/>
      <c r="O46" s="1291"/>
      <c r="P46" s="290"/>
      <c r="Q46" s="288"/>
      <c r="R46" s="289"/>
      <c r="S46" s="1262" t="str">
        <f>INDEX(PT_DIFFERENTIATION_NUM_IST_TE,MATCH(D46,PT_DIFFERENTIATION_IST_TE_ID,0))</f>
        <v>...</v>
      </c>
      <c r="T46" s="247" t="s">
        <v>428</v>
      </c>
      <c r="U46" s="237"/>
      <c r="V46" s="5373"/>
      <c r="W46" s="5374"/>
      <c r="X46" s="5374"/>
      <c r="Y46" s="5374"/>
      <c r="Z46" s="5374"/>
      <c r="AA46" s="5374"/>
      <c r="AB46" s="5374"/>
      <c r="AC46" s="5375"/>
      <c r="AD46" s="5373" t="str">
        <f>INDEX(PT_DIFFERENTIATION_IST_TE,MATCH(D46,PT_DIFFERENTIATION_IST_TE_ID,0))</f>
        <v/>
      </c>
      <c r="AE46" s="5374"/>
      <c r="AF46" s="5374"/>
      <c r="AG46" s="5374"/>
      <c r="AH46" s="5374"/>
      <c r="AI46" s="5374"/>
      <c r="AJ46" s="5374"/>
      <c r="AK46" s="5374"/>
      <c r="AL46" s="5375"/>
      <c r="AM46" s="1184" t="s">
        <v>429</v>
      </c>
      <c r="AO46" s="436"/>
      <c r="AP46" s="436" t="str">
        <f t="shared" si="1"/>
        <v xml:space="preserve">Источник тепловой энергии  </v>
      </c>
      <c r="AQ46" s="436"/>
      <c r="AR46" s="436"/>
      <c r="AS46" s="1081">
        <v>21</v>
      </c>
    </row>
    <row r="47" spans="1:45" s="1568" customFormat="1" ht="0" hidden="1" customHeight="1">
      <c r="A47" s="1269" t="s">
        <v>213</v>
      </c>
      <c r="B47" s="1269" t="s">
        <v>214</v>
      </c>
      <c r="C47" s="1269" t="s">
        <v>215</v>
      </c>
      <c r="D47" s="1269" t="s">
        <v>216</v>
      </c>
      <c r="E47" s="5382"/>
      <c r="F47" s="5382"/>
      <c r="G47" s="5382"/>
      <c r="H47" s="5382"/>
      <c r="I47" s="5383" t="str">
        <f>S46&amp;".1"</f>
        <v>....1</v>
      </c>
      <c r="J47" s="1269"/>
      <c r="K47" s="1269"/>
      <c r="L47" s="1272" t="s">
        <v>430</v>
      </c>
      <c r="M47" s="446"/>
      <c r="N47" s="446"/>
      <c r="O47" s="446"/>
      <c r="P47" s="5385">
        <v>1</v>
      </c>
      <c r="Q47" s="1257"/>
      <c r="R47" s="292"/>
      <c r="S47" s="971"/>
      <c r="T47" s="1309"/>
      <c r="U47" s="1310"/>
      <c r="V47" s="5420"/>
      <c r="W47" s="5421"/>
      <c r="X47" s="5421"/>
      <c r="Y47" s="5421"/>
      <c r="Z47" s="5421"/>
      <c r="AA47" s="5421"/>
      <c r="AB47" s="5421"/>
      <c r="AC47" s="5422"/>
      <c r="AD47" s="5420"/>
      <c r="AE47" s="5421"/>
      <c r="AF47" s="5421"/>
      <c r="AG47" s="5421"/>
      <c r="AH47" s="5421"/>
      <c r="AI47" s="5421"/>
      <c r="AJ47" s="5421"/>
      <c r="AK47" s="5421"/>
      <c r="AL47" s="5422"/>
      <c r="AM47" s="1311"/>
      <c r="AO47" s="436"/>
      <c r="AP47" s="436" t="str">
        <f t="shared" si="1"/>
        <v/>
      </c>
      <c r="AQ47" s="436"/>
      <c r="AR47" s="436"/>
      <c r="AS47" s="447">
        <v>0</v>
      </c>
    </row>
    <row r="48" spans="1:45" ht="21.95" customHeight="1">
      <c r="A48" s="1289" t="s">
        <v>213</v>
      </c>
      <c r="B48" s="1289" t="s">
        <v>214</v>
      </c>
      <c r="C48" s="1289" t="s">
        <v>215</v>
      </c>
      <c r="D48" s="1289" t="s">
        <v>216</v>
      </c>
      <c r="E48" s="5382"/>
      <c r="F48" s="5382"/>
      <c r="G48" s="5382"/>
      <c r="H48" s="5382"/>
      <c r="I48" s="5384"/>
      <c r="J48" s="5383" t="str">
        <f>S46&amp;".1"</f>
        <v>....1</v>
      </c>
      <c r="K48" s="1289"/>
      <c r="L48" s="1290" t="s">
        <v>433</v>
      </c>
      <c r="P48" s="5385"/>
      <c r="Q48" s="5385">
        <v>1</v>
      </c>
      <c r="R48" s="293"/>
      <c r="S48" s="1262" t="str">
        <f>$J48</f>
        <v>....1</v>
      </c>
      <c r="T48" s="223" t="s">
        <v>434</v>
      </c>
      <c r="U48" s="237"/>
      <c r="V48" s="5366"/>
      <c r="W48" s="5367"/>
      <c r="X48" s="5367"/>
      <c r="Y48" s="5367"/>
      <c r="Z48" s="5367"/>
      <c r="AA48" s="5367"/>
      <c r="AB48" s="5367"/>
      <c r="AC48" s="5368"/>
      <c r="AD48" s="5366"/>
      <c r="AE48" s="5367"/>
      <c r="AF48" s="5367"/>
      <c r="AG48" s="5367"/>
      <c r="AH48" s="5367"/>
      <c r="AI48" s="5367"/>
      <c r="AJ48" s="5367"/>
      <c r="AK48" s="5367"/>
      <c r="AL48" s="5368"/>
      <c r="AM48" s="1184" t="s">
        <v>435</v>
      </c>
      <c r="AO48" s="436"/>
      <c r="AP48" s="436" t="str">
        <f t="shared" si="1"/>
        <v>Группа потребителей</v>
      </c>
      <c r="AQ48" s="436"/>
      <c r="AR48" s="436"/>
      <c r="AS48" s="1081">
        <v>21</v>
      </c>
    </row>
    <row r="49" spans="1:45" ht="21.95" customHeight="1">
      <c r="A49" s="1289" t="s">
        <v>213</v>
      </c>
      <c r="B49" s="1289" t="s">
        <v>214</v>
      </c>
      <c r="C49" s="1289" t="s">
        <v>215</v>
      </c>
      <c r="D49" s="1289" t="s">
        <v>216</v>
      </c>
      <c r="E49" s="5382"/>
      <c r="F49" s="5382"/>
      <c r="G49" s="5382"/>
      <c r="H49" s="5382"/>
      <c r="I49" s="5384"/>
      <c r="J49" s="5384"/>
      <c r="K49" s="5383" t="str">
        <f>J48&amp;".1"</f>
        <v>....1.1</v>
      </c>
      <c r="L49" s="1290" t="s">
        <v>436</v>
      </c>
      <c r="P49" s="5385"/>
      <c r="Q49" s="5385"/>
      <c r="R49" s="293">
        <v>1</v>
      </c>
      <c r="S49" s="1262" t="str">
        <f>$K49</f>
        <v>....1.1</v>
      </c>
      <c r="T49" s="1273"/>
      <c r="U49" s="237"/>
      <c r="V49" s="687"/>
      <c r="W49" s="262"/>
      <c r="X49" s="687"/>
      <c r="Y49" s="1183"/>
      <c r="Z49" s="5386"/>
      <c r="AA49" s="5245" t="s">
        <v>65</v>
      </c>
      <c r="AB49" s="5386"/>
      <c r="AC49" s="5245" t="s">
        <v>65</v>
      </c>
      <c r="AD49" s="687"/>
      <c r="AE49" s="262"/>
      <c r="AF49" s="687"/>
      <c r="AG49" s="1183"/>
      <c r="AH49" s="5386"/>
      <c r="AI49" s="5245" t="s">
        <v>65</v>
      </c>
      <c r="AJ49" s="5388"/>
      <c r="AK49" s="5245" t="s">
        <v>65</v>
      </c>
      <c r="AL49" s="1274"/>
      <c r="AM49" s="5405" t="s">
        <v>480</v>
      </c>
      <c r="AN49" s="447" t="e">
        <f ca="1">STRCHECKDATE(V50:AL50)</f>
        <v>#NAME?</v>
      </c>
      <c r="AO49" s="436"/>
      <c r="AP49" s="436" t="str">
        <f t="shared" si="1"/>
        <v/>
      </c>
      <c r="AQ49" s="436"/>
      <c r="AR49" s="436"/>
      <c r="AS49" s="1081">
        <v>21</v>
      </c>
    </row>
    <row r="50" spans="1:45" ht="0" hidden="1" customHeight="1">
      <c r="A50" s="1289" t="s">
        <v>213</v>
      </c>
      <c r="B50" s="1289" t="s">
        <v>214</v>
      </c>
      <c r="C50" s="1289" t="s">
        <v>215</v>
      </c>
      <c r="D50" s="1289" t="s">
        <v>216</v>
      </c>
      <c r="E50" s="5382"/>
      <c r="F50" s="5382"/>
      <c r="G50" s="5382"/>
      <c r="H50" s="5382"/>
      <c r="I50" s="5384"/>
      <c r="J50" s="5384"/>
      <c r="K50" s="5383"/>
      <c r="L50" s="1290"/>
      <c r="P50" s="5385"/>
      <c r="Q50" s="5385"/>
      <c r="R50" s="293"/>
      <c r="S50" s="1268"/>
      <c r="T50" s="237"/>
      <c r="U50" s="237"/>
      <c r="V50" s="262"/>
      <c r="W50" s="262"/>
      <c r="X50" s="262"/>
      <c r="Y50" s="265" t="str">
        <f>Z49&amp;"-"&amp;AB49</f>
        <v>-</v>
      </c>
      <c r="Z50" s="5387"/>
      <c r="AA50" s="5245"/>
      <c r="AB50" s="5387"/>
      <c r="AC50" s="5245"/>
      <c r="AD50" s="262"/>
      <c r="AE50" s="262"/>
      <c r="AF50" s="262"/>
      <c r="AG50" s="265" t="str">
        <f>AH49&amp;"-"&amp;AJ49</f>
        <v>-</v>
      </c>
      <c r="AH50" s="5387"/>
      <c r="AI50" s="5245"/>
      <c r="AJ50" s="5389"/>
      <c r="AK50" s="5245"/>
      <c r="AL50" s="1275"/>
      <c r="AM50" s="5406"/>
      <c r="AO50" s="436"/>
      <c r="AP50" s="436" t="str">
        <f t="shared" si="1"/>
        <v/>
      </c>
      <c r="AQ50" s="436"/>
      <c r="AR50" s="436"/>
      <c r="AS50" s="1081">
        <v>0</v>
      </c>
    </row>
    <row r="51" spans="1:45" ht="11.45" customHeight="1">
      <c r="A51" s="1289" t="s">
        <v>213</v>
      </c>
      <c r="B51" s="1289" t="s">
        <v>214</v>
      </c>
      <c r="C51" s="1289" t="s">
        <v>215</v>
      </c>
      <c r="D51" s="1289" t="s">
        <v>216</v>
      </c>
      <c r="E51" s="5382"/>
      <c r="F51" s="5382"/>
      <c r="G51" s="5382"/>
      <c r="H51" s="5382"/>
      <c r="I51" s="5384"/>
      <c r="J51" s="5383"/>
      <c r="K51" s="1289"/>
      <c r="L51" s="1290"/>
      <c r="P51" s="5385"/>
      <c r="Q51" s="5385"/>
      <c r="R51" s="292"/>
      <c r="S51" s="1204"/>
      <c r="T51" s="224" t="s">
        <v>438</v>
      </c>
      <c r="U51" s="303"/>
      <c r="V51" s="303"/>
      <c r="W51" s="303"/>
      <c r="X51" s="303"/>
      <c r="Y51" s="303"/>
      <c r="Z51" s="303"/>
      <c r="AA51" s="303"/>
      <c r="AB51" s="303"/>
      <c r="AC51" s="303"/>
      <c r="AD51" s="303"/>
      <c r="AE51" s="303"/>
      <c r="AF51" s="303"/>
      <c r="AG51" s="303"/>
      <c r="AH51" s="303"/>
      <c r="AI51" s="303"/>
      <c r="AJ51" s="303"/>
      <c r="AK51" s="303"/>
      <c r="AL51" s="261"/>
      <c r="AM51" s="5407"/>
      <c r="AO51" s="436"/>
      <c r="AP51" s="436" t="str">
        <f t="shared" si="1"/>
        <v>Добавить вид теплоносителя (параметры теплоносителя)</v>
      </c>
      <c r="AQ51" s="436"/>
      <c r="AR51" s="436"/>
      <c r="AS51" s="1081">
        <v>11</v>
      </c>
    </row>
    <row r="52" spans="1:45" ht="11.45" customHeight="1">
      <c r="A52" s="1289" t="s">
        <v>213</v>
      </c>
      <c r="B52" s="1289" t="s">
        <v>214</v>
      </c>
      <c r="C52" s="1289" t="s">
        <v>215</v>
      </c>
      <c r="D52" s="1289" t="s">
        <v>216</v>
      </c>
      <c r="E52" s="5382"/>
      <c r="F52" s="5382"/>
      <c r="G52" s="5382"/>
      <c r="H52" s="5382"/>
      <c r="I52" s="5383"/>
      <c r="J52" s="1289"/>
      <c r="K52" s="1289"/>
      <c r="L52" s="1290"/>
      <c r="P52" s="5385"/>
      <c r="Q52" s="1257"/>
      <c r="R52" s="292"/>
      <c r="S52" s="1204"/>
      <c r="T52" s="301" t="s">
        <v>439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213</v>
      </c>
      <c r="B53" s="1289" t="s">
        <v>214</v>
      </c>
      <c r="C53" s="1289" t="s">
        <v>215</v>
      </c>
      <c r="D53" s="1289" t="s">
        <v>216</v>
      </c>
      <c r="E53" s="5382"/>
      <c r="F53" s="5382"/>
      <c r="G53" s="5382"/>
      <c r="H53" s="538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213</v>
      </c>
      <c r="B54" s="1269" t="s">
        <v>214</v>
      </c>
      <c r="C54" s="1269" t="s">
        <v>215</v>
      </c>
      <c r="D54" s="1240"/>
      <c r="E54" s="5382"/>
      <c r="F54" s="5382"/>
      <c r="G54" s="5381"/>
      <c r="H54" s="1240"/>
      <c r="I54" s="1240"/>
      <c r="J54" s="1240"/>
      <c r="K54" s="1240"/>
      <c r="L54" s="1265"/>
      <c r="M54" s="1241"/>
      <c r="N54" s="1241"/>
      <c r="P54" s="1242"/>
      <c r="Q54" s="1243"/>
      <c r="R54" s="1242"/>
      <c r="S54" s="1248"/>
      <c r="T54" s="1251" t="s">
        <v>163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213</v>
      </c>
      <c r="B55" s="1269" t="s">
        <v>214</v>
      </c>
      <c r="C55" s="1240"/>
      <c r="D55" s="1240"/>
      <c r="E55" s="5382"/>
      <c r="F55" s="5381"/>
      <c r="G55" s="1240"/>
      <c r="H55" s="1240"/>
      <c r="I55" s="1240"/>
      <c r="J55" s="1240"/>
      <c r="K55" s="1240"/>
      <c r="L55" s="1265"/>
      <c r="M55" s="1247"/>
      <c r="N55" s="1247"/>
      <c r="P55" s="1242"/>
      <c r="Q55" s="1243"/>
      <c r="R55" s="1242"/>
      <c r="S55" s="1248"/>
      <c r="T55" s="1251" t="s">
        <v>164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213</v>
      </c>
      <c r="B56" s="1269"/>
      <c r="C56" s="1269"/>
      <c r="D56" s="1269"/>
      <c r="E56" s="5381"/>
      <c r="F56" s="1269"/>
      <c r="G56" s="1269"/>
      <c r="H56" s="1269"/>
      <c r="I56" s="1269"/>
      <c r="J56" s="1269"/>
      <c r="K56" s="1269"/>
      <c r="L56" s="1272"/>
      <c r="M56" s="1247"/>
      <c r="N56" s="1247"/>
      <c r="O56" s="454"/>
      <c r="P56" s="316"/>
      <c r="Q56" s="1270"/>
      <c r="R56" s="316"/>
      <c r="S56" s="1248"/>
      <c r="T56" s="1251" t="s">
        <v>165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182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5379"/>
      <c r="U59" s="5379"/>
      <c r="V59" s="5379"/>
      <c r="W59" s="5379"/>
      <c r="X59" s="5379"/>
      <c r="Y59" s="5379"/>
      <c r="Z59" s="5379"/>
      <c r="AA59" s="5379"/>
      <c r="AB59" s="5379"/>
      <c r="AC59" s="5379"/>
      <c r="AD59" s="5379"/>
      <c r="AE59" s="5379"/>
      <c r="AF59" s="5379"/>
      <c r="AG59" s="5379"/>
      <c r="AH59" s="5379"/>
      <c r="AI59" s="5379"/>
      <c r="AJ59" s="5379"/>
      <c r="AK59" s="5379"/>
      <c r="AL59" s="5379"/>
      <c r="AM59" s="5379"/>
      <c r="AS59" s="1081">
        <v>14</v>
      </c>
    </row>
    <row r="60" spans="1:45" ht="14.65" customHeight="1">
      <c r="O60" s="473"/>
      <c r="T60" s="5379"/>
      <c r="U60" s="5379"/>
      <c r="V60" s="5379"/>
      <c r="W60" s="5379"/>
      <c r="X60" s="5379"/>
      <c r="Y60" s="5379"/>
      <c r="Z60" s="5379"/>
      <c r="AA60" s="5379"/>
      <c r="AB60" s="5379"/>
      <c r="AC60" s="5379"/>
      <c r="AD60" s="5379"/>
      <c r="AE60" s="5379"/>
      <c r="AF60" s="5379"/>
      <c r="AG60" s="5379"/>
      <c r="AH60" s="5379"/>
      <c r="AI60" s="5379"/>
      <c r="AJ60" s="5379"/>
      <c r="AK60" s="5379"/>
      <c r="AL60" s="5379"/>
      <c r="AM60" s="5379"/>
      <c r="AS60" s="1081">
        <v>14</v>
      </c>
    </row>
    <row r="61" spans="1:45" ht="14.65" customHeight="1">
      <c r="O61" s="473"/>
      <c r="T61" s="5379"/>
      <c r="U61" s="5379"/>
      <c r="V61" s="5379"/>
      <c r="W61" s="5379"/>
      <c r="X61" s="5379"/>
      <c r="Y61" s="5379"/>
      <c r="Z61" s="5379"/>
      <c r="AA61" s="5379"/>
      <c r="AB61" s="5379"/>
      <c r="AC61" s="5379"/>
      <c r="AD61" s="5379"/>
      <c r="AE61" s="5379"/>
      <c r="AF61" s="5379"/>
      <c r="AG61" s="5379"/>
      <c r="AH61" s="5379"/>
      <c r="AI61" s="5379"/>
      <c r="AJ61" s="5379"/>
      <c r="AK61" s="5379"/>
      <c r="AL61" s="5379"/>
      <c r="AM61" s="5379"/>
      <c r="AS61" s="1081">
        <v>14</v>
      </c>
    </row>
    <row r="62" spans="1:45" ht="14.65" customHeight="1">
      <c r="O62" s="473"/>
      <c r="AS62" s="1081">
        <v>14</v>
      </c>
    </row>
    <row r="63" spans="1:45" ht="14.65" customHeight="1">
      <c r="O63" s="473"/>
      <c r="S63" s="1179"/>
      <c r="T63" s="5275"/>
      <c r="U63" s="5379"/>
      <c r="V63" s="5379"/>
      <c r="W63" s="5379"/>
      <c r="X63" s="5379"/>
      <c r="Y63" s="5379"/>
      <c r="Z63" s="5379"/>
      <c r="AA63" s="5379"/>
      <c r="AB63" s="5379"/>
      <c r="AC63" s="5379"/>
      <c r="AD63" s="5379"/>
      <c r="AE63" s="5379"/>
      <c r="AF63" s="5379"/>
      <c r="AG63" s="5379"/>
      <c r="AH63" s="5379"/>
      <c r="AI63" s="5379"/>
      <c r="AJ63" s="5379"/>
      <c r="AK63" s="5379"/>
      <c r="AL63" s="5379"/>
      <c r="AM63" s="5379"/>
      <c r="AS63" s="1081">
        <v>14</v>
      </c>
    </row>
    <row r="64" spans="1:45" ht="14.65" customHeight="1">
      <c r="O64" s="473"/>
      <c r="T64" s="5379"/>
      <c r="U64" s="5379"/>
      <c r="V64" s="5379"/>
      <c r="W64" s="5379"/>
      <c r="X64" s="5379"/>
      <c r="Y64" s="5379"/>
      <c r="Z64" s="5379"/>
      <c r="AA64" s="5379"/>
      <c r="AB64" s="5379"/>
      <c r="AC64" s="5379"/>
      <c r="AD64" s="5379"/>
      <c r="AE64" s="5379"/>
      <c r="AF64" s="5379"/>
      <c r="AG64" s="5379"/>
      <c r="AH64" s="5379"/>
      <c r="AI64" s="5379"/>
      <c r="AJ64" s="5379"/>
      <c r="AK64" s="5379"/>
      <c r="AL64" s="5379"/>
      <c r="AM64" s="5379"/>
      <c r="AS64" s="1081">
        <v>14</v>
      </c>
    </row>
    <row r="65" spans="1:45" ht="14.65" customHeight="1">
      <c r="T65" s="5379"/>
      <c r="U65" s="5379"/>
      <c r="V65" s="5379"/>
      <c r="W65" s="5379"/>
      <c r="X65" s="5379"/>
      <c r="Y65" s="5379"/>
      <c r="Z65" s="5379"/>
      <c r="AA65" s="5379"/>
      <c r="AB65" s="5379"/>
      <c r="AC65" s="5379"/>
      <c r="AD65" s="5379"/>
      <c r="AE65" s="5379"/>
      <c r="AF65" s="5379"/>
      <c r="AG65" s="5379"/>
      <c r="AH65" s="5379"/>
      <c r="AI65" s="5379"/>
      <c r="AJ65" s="5379"/>
      <c r="AK65" s="5379"/>
      <c r="AL65" s="5379"/>
      <c r="AM65" s="5379"/>
      <c r="AS65" s="1081">
        <v>14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Z84"/>
  <sheetViews>
    <sheetView showGridLines="0" zoomScale="90" workbookViewId="0">
      <pane xSplit="32" ySplit="48" topLeftCell="CV67" activePane="bottomRight" state="frozen"/>
      <selection pane="topRight" activeCell="AG1" sqref="AG1"/>
      <selection pane="bottomLeft" activeCell="A49" sqref="A49"/>
      <selection pane="bottomRight" activeCell="DL69" sqref="DL69"/>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15" hidden="1" customWidth="1"/>
    <col min="16" max="16" width="23.42578125" style="2015" hidden="1" customWidth="1"/>
    <col min="17" max="17" width="3.7109375" style="2015" hidden="1" customWidth="1"/>
    <col min="18" max="20" width="3" style="281" customWidth="1"/>
    <col min="21" max="21" width="12" style="2016"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customWidth="1"/>
    <col min="122" max="122" width="10.5703125" style="4" hidden="1"/>
    <col min="123" max="123" width="4" style="1561" customWidth="1"/>
    <col min="124" max="124" width="115" style="1561" customWidth="1"/>
    <col min="125" max="129" width="10" style="1568" customWidth="1"/>
    <col min="130" max="130" width="10.5703125" style="1561" hidden="1"/>
  </cols>
  <sheetData>
    <row r="1" spans="1:130" ht="22.5" hidden="1" customHeight="1">
      <c r="AB1" s="264"/>
      <c r="AC1" s="264"/>
      <c r="AK1" s="264"/>
      <c r="AL1" s="264"/>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BZ1" s="1561"/>
      <c r="CA1" s="1561"/>
      <c r="CB1" s="1561"/>
      <c r="CC1" s="1561"/>
      <c r="CD1" s="1561"/>
      <c r="CE1" s="1561"/>
      <c r="CF1" s="1561"/>
      <c r="CG1" s="1561"/>
      <c r="CH1" s="1561"/>
      <c r="CI1" s="1561"/>
      <c r="CJ1" s="1561"/>
      <c r="CK1" s="1561"/>
      <c r="CL1" s="1561"/>
      <c r="CM1" s="1561"/>
      <c r="CN1" s="1561"/>
      <c r="CO1" s="1561"/>
      <c r="CP1" s="1561"/>
      <c r="CQ1" s="1561"/>
      <c r="CR1" s="1561"/>
      <c r="CS1" s="1561"/>
      <c r="CT1" s="1561"/>
      <c r="CU1" s="1561"/>
      <c r="CV1" s="1561"/>
      <c r="CW1" s="1561"/>
      <c r="CX1" s="1561"/>
      <c r="CY1" s="1561"/>
      <c r="CZ1" s="1561"/>
      <c r="DA1" s="1561"/>
      <c r="DB1" s="1561"/>
      <c r="DC1" s="1561"/>
      <c r="DD1" s="1561"/>
      <c r="DE1" s="1561"/>
      <c r="DF1" s="1561"/>
      <c r="DG1" s="1561"/>
      <c r="DH1" s="1561"/>
      <c r="DI1" s="1561"/>
      <c r="DJ1" s="1561"/>
      <c r="DK1" s="1561"/>
      <c r="DL1" s="1561"/>
      <c r="DM1" s="1561"/>
      <c r="DN1" s="1561"/>
      <c r="DO1" s="1561"/>
      <c r="DP1" s="1561"/>
      <c r="DQ1" s="1561"/>
      <c r="DR1" s="5155"/>
      <c r="DZ1" s="1081" t="s">
        <v>14</v>
      </c>
    </row>
    <row r="2" spans="1:130" ht="21" hidden="1" customHeight="1">
      <c r="A2" s="1193"/>
      <c r="B2" s="1193"/>
      <c r="C2" s="1193"/>
      <c r="D2" s="1193"/>
      <c r="E2" s="5415">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5373"/>
      <c r="Y2" s="5374"/>
      <c r="Z2" s="5374"/>
      <c r="AA2" s="5374"/>
      <c r="AB2" s="5374"/>
      <c r="AC2" s="5374"/>
      <c r="AD2" s="5374"/>
      <c r="AE2" s="5374"/>
      <c r="AF2" s="5375"/>
      <c r="AG2" s="5373" t="e">
        <f>INDEX(PT_DIFFERENTIATION_NTAR,MATCH(A2,PT_DIFFERENTIATION_NTAR_ID,0))</f>
        <v>#N/A</v>
      </c>
      <c r="AH2" s="5374"/>
      <c r="AI2" s="5374"/>
      <c r="AJ2" s="5374"/>
      <c r="AK2" s="5374"/>
      <c r="AL2" s="5374"/>
      <c r="AM2" s="5374"/>
      <c r="AN2" s="5374"/>
      <c r="AO2" s="5374"/>
      <c r="AP2" s="5373"/>
      <c r="AQ2" s="5374"/>
      <c r="AR2" s="5374"/>
      <c r="AS2" s="5374"/>
      <c r="AT2" s="5374"/>
      <c r="AU2" s="5374"/>
      <c r="AV2" s="5374"/>
      <c r="AW2" s="5374"/>
      <c r="AX2" s="5375"/>
      <c r="AY2" s="5373"/>
      <c r="AZ2" s="5374"/>
      <c r="BA2" s="5374"/>
      <c r="BB2" s="5374"/>
      <c r="BC2" s="5374"/>
      <c r="BD2" s="5374"/>
      <c r="BE2" s="5374"/>
      <c r="BF2" s="5374"/>
      <c r="BG2" s="5375"/>
      <c r="BH2" s="5373"/>
      <c r="BI2" s="5374"/>
      <c r="BJ2" s="5374"/>
      <c r="BK2" s="5374"/>
      <c r="BL2" s="5374"/>
      <c r="BM2" s="5374"/>
      <c r="BN2" s="5374"/>
      <c r="BO2" s="5374"/>
      <c r="BP2" s="5375"/>
      <c r="BQ2" s="5373"/>
      <c r="BR2" s="5374"/>
      <c r="BS2" s="5374"/>
      <c r="BT2" s="5374"/>
      <c r="BU2" s="5374"/>
      <c r="BV2" s="5374"/>
      <c r="BW2" s="5374"/>
      <c r="BX2" s="5374"/>
      <c r="BY2" s="5375"/>
      <c r="BZ2" s="5373"/>
      <c r="CA2" s="5374"/>
      <c r="CB2" s="5374"/>
      <c r="CC2" s="5374"/>
      <c r="CD2" s="5374"/>
      <c r="CE2" s="5374"/>
      <c r="CF2" s="5374"/>
      <c r="CG2" s="5374"/>
      <c r="CH2" s="5375"/>
      <c r="CI2" s="5373"/>
      <c r="CJ2" s="5374"/>
      <c r="CK2" s="5374"/>
      <c r="CL2" s="5374"/>
      <c r="CM2" s="5374"/>
      <c r="CN2" s="5374"/>
      <c r="CO2" s="5374"/>
      <c r="CP2" s="5374"/>
      <c r="CQ2" s="5375"/>
      <c r="CR2" s="5373"/>
      <c r="CS2" s="5374"/>
      <c r="CT2" s="5374"/>
      <c r="CU2" s="5374"/>
      <c r="CV2" s="5374"/>
      <c r="CW2" s="5374"/>
      <c r="CX2" s="5374"/>
      <c r="CY2" s="5374"/>
      <c r="CZ2" s="5375"/>
      <c r="DA2" s="5373"/>
      <c r="DB2" s="5374"/>
      <c r="DC2" s="5374"/>
      <c r="DD2" s="5374"/>
      <c r="DE2" s="5374"/>
      <c r="DF2" s="5374"/>
      <c r="DG2" s="5374"/>
      <c r="DH2" s="5374"/>
      <c r="DI2" s="5375"/>
      <c r="DJ2" s="5373"/>
      <c r="DK2" s="5374"/>
      <c r="DL2" s="5374"/>
      <c r="DM2" s="5374"/>
      <c r="DN2" s="5374"/>
      <c r="DO2" s="5374"/>
      <c r="DP2" s="5374"/>
      <c r="DQ2" s="5374"/>
      <c r="DR2" s="5376"/>
      <c r="DS2" s="5375"/>
      <c r="DT2" s="1184" t="s">
        <v>423</v>
      </c>
      <c r="DV2" s="436"/>
      <c r="DW2" s="436" t="str">
        <f t="shared" ref="DW2:DW8" si="0">IF(V2="","",V2)</f>
        <v>Наименование тарифа</v>
      </c>
      <c r="DX2" s="436"/>
      <c r="DY2" s="436"/>
      <c r="DZ2" s="1081">
        <v>0</v>
      </c>
    </row>
    <row r="3" spans="1:130" ht="21" hidden="1" customHeight="1">
      <c r="A3" s="1193"/>
      <c r="B3" s="1193"/>
      <c r="C3" s="1193"/>
      <c r="D3" s="1193"/>
      <c r="E3" s="5416"/>
      <c r="F3" s="5415">
        <v>1</v>
      </c>
      <c r="G3" s="1193"/>
      <c r="H3" s="1193"/>
      <c r="I3" s="1193"/>
      <c r="J3" s="1193"/>
      <c r="K3" s="1193"/>
      <c r="L3" s="1193"/>
      <c r="M3" s="1236"/>
      <c r="N3" s="624"/>
      <c r="O3" s="624"/>
      <c r="P3" s="624"/>
      <c r="Q3" s="1258"/>
      <c r="R3" s="288"/>
      <c r="S3" s="445"/>
      <c r="T3" s="289"/>
      <c r="U3" s="1262" t="e">
        <f>INDEX(PT_DIFFERENTIATION_NUM_TER,MATCH(B3,PT_DIFFERENTIATION_TER_ID,0))</f>
        <v>#N/A</v>
      </c>
      <c r="V3" s="245" t="s">
        <v>424</v>
      </c>
      <c r="W3" s="237"/>
      <c r="X3" s="5373"/>
      <c r="Y3" s="5374"/>
      <c r="Z3" s="5374"/>
      <c r="AA3" s="5374"/>
      <c r="AB3" s="5374"/>
      <c r="AC3" s="5374"/>
      <c r="AD3" s="5374"/>
      <c r="AE3" s="5374"/>
      <c r="AF3" s="5375"/>
      <c r="AG3" s="5373" t="e">
        <f>INDEX(PT_DIFFERENTIATION_TER,MATCH(B3,PT_DIFFERENTIATION_TER_ID,0))</f>
        <v>#N/A</v>
      </c>
      <c r="AH3" s="5374"/>
      <c r="AI3" s="5374"/>
      <c r="AJ3" s="5374"/>
      <c r="AK3" s="5374"/>
      <c r="AL3" s="5374"/>
      <c r="AM3" s="5374"/>
      <c r="AN3" s="5374"/>
      <c r="AO3" s="5374"/>
      <c r="AP3" s="5373"/>
      <c r="AQ3" s="5374"/>
      <c r="AR3" s="5374"/>
      <c r="AS3" s="5374"/>
      <c r="AT3" s="5374"/>
      <c r="AU3" s="5374"/>
      <c r="AV3" s="5374"/>
      <c r="AW3" s="5374"/>
      <c r="AX3" s="5375"/>
      <c r="AY3" s="5373"/>
      <c r="AZ3" s="5374"/>
      <c r="BA3" s="5374"/>
      <c r="BB3" s="5374"/>
      <c r="BC3" s="5374"/>
      <c r="BD3" s="5374"/>
      <c r="BE3" s="5374"/>
      <c r="BF3" s="5374"/>
      <c r="BG3" s="5375"/>
      <c r="BH3" s="5373"/>
      <c r="BI3" s="5374"/>
      <c r="BJ3" s="5374"/>
      <c r="BK3" s="5374"/>
      <c r="BL3" s="5374"/>
      <c r="BM3" s="5374"/>
      <c r="BN3" s="5374"/>
      <c r="BO3" s="5374"/>
      <c r="BP3" s="5375"/>
      <c r="BQ3" s="5373"/>
      <c r="BR3" s="5374"/>
      <c r="BS3" s="5374"/>
      <c r="BT3" s="5374"/>
      <c r="BU3" s="5374"/>
      <c r="BV3" s="5374"/>
      <c r="BW3" s="5374"/>
      <c r="BX3" s="5374"/>
      <c r="BY3" s="5375"/>
      <c r="BZ3" s="5373"/>
      <c r="CA3" s="5374"/>
      <c r="CB3" s="5374"/>
      <c r="CC3" s="5374"/>
      <c r="CD3" s="5374"/>
      <c r="CE3" s="5374"/>
      <c r="CF3" s="5374"/>
      <c r="CG3" s="5374"/>
      <c r="CH3" s="5375"/>
      <c r="CI3" s="5373"/>
      <c r="CJ3" s="5374"/>
      <c r="CK3" s="5374"/>
      <c r="CL3" s="5374"/>
      <c r="CM3" s="5374"/>
      <c r="CN3" s="5374"/>
      <c r="CO3" s="5374"/>
      <c r="CP3" s="5374"/>
      <c r="CQ3" s="5375"/>
      <c r="CR3" s="5373"/>
      <c r="CS3" s="5374"/>
      <c r="CT3" s="5374"/>
      <c r="CU3" s="5374"/>
      <c r="CV3" s="5374"/>
      <c r="CW3" s="5374"/>
      <c r="CX3" s="5374"/>
      <c r="CY3" s="5374"/>
      <c r="CZ3" s="5375"/>
      <c r="DA3" s="5373"/>
      <c r="DB3" s="5374"/>
      <c r="DC3" s="5374"/>
      <c r="DD3" s="5374"/>
      <c r="DE3" s="5374"/>
      <c r="DF3" s="5374"/>
      <c r="DG3" s="5374"/>
      <c r="DH3" s="5374"/>
      <c r="DI3" s="5375"/>
      <c r="DJ3" s="5373"/>
      <c r="DK3" s="5374"/>
      <c r="DL3" s="5374"/>
      <c r="DM3" s="5374"/>
      <c r="DN3" s="5374"/>
      <c r="DO3" s="5374"/>
      <c r="DP3" s="5374"/>
      <c r="DQ3" s="5374"/>
      <c r="DR3" s="5376"/>
      <c r="DS3" s="5375"/>
      <c r="DT3" s="1184" t="s">
        <v>425</v>
      </c>
      <c r="DV3" s="436"/>
      <c r="DW3" s="436" t="str">
        <f t="shared" si="0"/>
        <v>Территория действия тарифа</v>
      </c>
      <c r="DX3" s="436"/>
      <c r="DY3" s="436"/>
      <c r="DZ3" s="1081">
        <v>0</v>
      </c>
    </row>
    <row r="4" spans="1:130" ht="22.5" hidden="1" customHeight="1">
      <c r="A4" s="1193"/>
      <c r="B4" s="1193"/>
      <c r="C4" s="1193"/>
      <c r="D4" s="1193"/>
      <c r="E4" s="5416"/>
      <c r="F4" s="5416"/>
      <c r="G4" s="5415">
        <v>1</v>
      </c>
      <c r="H4" s="1193"/>
      <c r="I4" s="1193"/>
      <c r="J4" s="1193"/>
      <c r="K4" s="1193"/>
      <c r="L4" s="1193"/>
      <c r="M4" s="1236"/>
      <c r="N4" s="624"/>
      <c r="O4" s="624"/>
      <c r="P4" s="624"/>
      <c r="Q4" s="290"/>
      <c r="R4" s="288"/>
      <c r="S4" s="445"/>
      <c r="T4" s="289"/>
      <c r="U4" s="1262" t="e">
        <f>INDEX(PT_DIFFERENTIATION_NUM_CS,MATCH(C4,PT_DIFFERENTIATION_CS_ID,0))</f>
        <v>#N/A</v>
      </c>
      <c r="V4" s="246" t="s">
        <v>426</v>
      </c>
      <c r="W4" s="237"/>
      <c r="X4" s="5373"/>
      <c r="Y4" s="5374"/>
      <c r="Z4" s="5374"/>
      <c r="AA4" s="5374"/>
      <c r="AB4" s="5374"/>
      <c r="AC4" s="5374"/>
      <c r="AD4" s="5374"/>
      <c r="AE4" s="5374"/>
      <c r="AF4" s="5375"/>
      <c r="AG4" s="5373" t="e">
        <f>INDEX(PT_DIFFERENTIATION_CS,MATCH(C4,PT_DIFFERENTIATION_CS_ID,0))</f>
        <v>#N/A</v>
      </c>
      <c r="AH4" s="5374"/>
      <c r="AI4" s="5374"/>
      <c r="AJ4" s="5374"/>
      <c r="AK4" s="5374"/>
      <c r="AL4" s="5374"/>
      <c r="AM4" s="5374"/>
      <c r="AN4" s="5374"/>
      <c r="AO4" s="5374"/>
      <c r="AP4" s="5373"/>
      <c r="AQ4" s="5374"/>
      <c r="AR4" s="5374"/>
      <c r="AS4" s="5374"/>
      <c r="AT4" s="5374"/>
      <c r="AU4" s="5374"/>
      <c r="AV4" s="5374"/>
      <c r="AW4" s="5374"/>
      <c r="AX4" s="5375"/>
      <c r="AY4" s="5373"/>
      <c r="AZ4" s="5374"/>
      <c r="BA4" s="5374"/>
      <c r="BB4" s="5374"/>
      <c r="BC4" s="5374"/>
      <c r="BD4" s="5374"/>
      <c r="BE4" s="5374"/>
      <c r="BF4" s="5374"/>
      <c r="BG4" s="5375"/>
      <c r="BH4" s="5373"/>
      <c r="BI4" s="5374"/>
      <c r="BJ4" s="5374"/>
      <c r="BK4" s="5374"/>
      <c r="BL4" s="5374"/>
      <c r="BM4" s="5374"/>
      <c r="BN4" s="5374"/>
      <c r="BO4" s="5374"/>
      <c r="BP4" s="5375"/>
      <c r="BQ4" s="5373"/>
      <c r="BR4" s="5374"/>
      <c r="BS4" s="5374"/>
      <c r="BT4" s="5374"/>
      <c r="BU4" s="5374"/>
      <c r="BV4" s="5374"/>
      <c r="BW4" s="5374"/>
      <c r="BX4" s="5374"/>
      <c r="BY4" s="5375"/>
      <c r="BZ4" s="5373"/>
      <c r="CA4" s="5374"/>
      <c r="CB4" s="5374"/>
      <c r="CC4" s="5374"/>
      <c r="CD4" s="5374"/>
      <c r="CE4" s="5374"/>
      <c r="CF4" s="5374"/>
      <c r="CG4" s="5374"/>
      <c r="CH4" s="5375"/>
      <c r="CI4" s="5373"/>
      <c r="CJ4" s="5374"/>
      <c r="CK4" s="5374"/>
      <c r="CL4" s="5374"/>
      <c r="CM4" s="5374"/>
      <c r="CN4" s="5374"/>
      <c r="CO4" s="5374"/>
      <c r="CP4" s="5374"/>
      <c r="CQ4" s="5375"/>
      <c r="CR4" s="5373"/>
      <c r="CS4" s="5374"/>
      <c r="CT4" s="5374"/>
      <c r="CU4" s="5374"/>
      <c r="CV4" s="5374"/>
      <c r="CW4" s="5374"/>
      <c r="CX4" s="5374"/>
      <c r="CY4" s="5374"/>
      <c r="CZ4" s="5375"/>
      <c r="DA4" s="5373"/>
      <c r="DB4" s="5374"/>
      <c r="DC4" s="5374"/>
      <c r="DD4" s="5374"/>
      <c r="DE4" s="5374"/>
      <c r="DF4" s="5374"/>
      <c r="DG4" s="5374"/>
      <c r="DH4" s="5374"/>
      <c r="DI4" s="5375"/>
      <c r="DJ4" s="5373"/>
      <c r="DK4" s="5374"/>
      <c r="DL4" s="5374"/>
      <c r="DM4" s="5374"/>
      <c r="DN4" s="5374"/>
      <c r="DO4" s="5374"/>
      <c r="DP4" s="5374"/>
      <c r="DQ4" s="5374"/>
      <c r="DR4" s="5376"/>
      <c r="DS4" s="5375"/>
      <c r="DT4" s="1184" t="s">
        <v>427</v>
      </c>
      <c r="DV4" s="436"/>
      <c r="DW4" s="436" t="str">
        <f t="shared" si="0"/>
        <v xml:space="preserve">Наименование системы теплоснабжения </v>
      </c>
      <c r="DX4" s="436"/>
      <c r="DY4" s="436"/>
      <c r="DZ4" s="1081">
        <v>0</v>
      </c>
    </row>
    <row r="5" spans="1:130" ht="21" hidden="1" customHeight="1">
      <c r="A5" s="1193"/>
      <c r="B5" s="1193"/>
      <c r="C5" s="1193"/>
      <c r="D5" s="1193"/>
      <c r="E5" s="5416"/>
      <c r="F5" s="5416"/>
      <c r="G5" s="5416"/>
      <c r="H5" s="5415">
        <v>1</v>
      </c>
      <c r="I5" s="1193"/>
      <c r="J5" s="1193"/>
      <c r="K5" s="1193"/>
      <c r="L5" s="1193"/>
      <c r="M5" s="1236"/>
      <c r="N5" s="624"/>
      <c r="O5" s="624"/>
      <c r="P5" s="624"/>
      <c r="Q5" s="290"/>
      <c r="R5" s="288"/>
      <c r="S5" s="445"/>
      <c r="T5" s="289"/>
      <c r="U5" s="1262" t="e">
        <f>INDEX(PT_DIFFERENTIATION_NUM_IST_TE,MATCH(D5,PT_DIFFERENTIATION_IST_TE_ID,0))</f>
        <v>#N/A</v>
      </c>
      <c r="V5" s="247" t="s">
        <v>428</v>
      </c>
      <c r="W5" s="237"/>
      <c r="X5" s="5373"/>
      <c r="Y5" s="5374"/>
      <c r="Z5" s="5374"/>
      <c r="AA5" s="5374"/>
      <c r="AB5" s="5374"/>
      <c r="AC5" s="5374"/>
      <c r="AD5" s="5374"/>
      <c r="AE5" s="5374"/>
      <c r="AF5" s="5375"/>
      <c r="AG5" s="5373" t="e">
        <f>INDEX(PT_DIFFERENTIATION_IST_TE,MATCH(D5,PT_DIFFERENTIATION_IST_TE_ID,0))</f>
        <v>#N/A</v>
      </c>
      <c r="AH5" s="5374"/>
      <c r="AI5" s="5374"/>
      <c r="AJ5" s="5374"/>
      <c r="AK5" s="5374"/>
      <c r="AL5" s="5374"/>
      <c r="AM5" s="5374"/>
      <c r="AN5" s="5374"/>
      <c r="AO5" s="5374"/>
      <c r="AP5" s="5373"/>
      <c r="AQ5" s="5374"/>
      <c r="AR5" s="5374"/>
      <c r="AS5" s="5374"/>
      <c r="AT5" s="5374"/>
      <c r="AU5" s="5374"/>
      <c r="AV5" s="5374"/>
      <c r="AW5" s="5374"/>
      <c r="AX5" s="5375"/>
      <c r="AY5" s="5373"/>
      <c r="AZ5" s="5374"/>
      <c r="BA5" s="5374"/>
      <c r="BB5" s="5374"/>
      <c r="BC5" s="5374"/>
      <c r="BD5" s="5374"/>
      <c r="BE5" s="5374"/>
      <c r="BF5" s="5374"/>
      <c r="BG5" s="5375"/>
      <c r="BH5" s="5373"/>
      <c r="BI5" s="5374"/>
      <c r="BJ5" s="5374"/>
      <c r="BK5" s="5374"/>
      <c r="BL5" s="5374"/>
      <c r="BM5" s="5374"/>
      <c r="BN5" s="5374"/>
      <c r="BO5" s="5374"/>
      <c r="BP5" s="5375"/>
      <c r="BQ5" s="5373"/>
      <c r="BR5" s="5374"/>
      <c r="BS5" s="5374"/>
      <c r="BT5" s="5374"/>
      <c r="BU5" s="5374"/>
      <c r="BV5" s="5374"/>
      <c r="BW5" s="5374"/>
      <c r="BX5" s="5374"/>
      <c r="BY5" s="5375"/>
      <c r="BZ5" s="5373"/>
      <c r="CA5" s="5374"/>
      <c r="CB5" s="5374"/>
      <c r="CC5" s="5374"/>
      <c r="CD5" s="5374"/>
      <c r="CE5" s="5374"/>
      <c r="CF5" s="5374"/>
      <c r="CG5" s="5374"/>
      <c r="CH5" s="5375"/>
      <c r="CI5" s="5373"/>
      <c r="CJ5" s="5374"/>
      <c r="CK5" s="5374"/>
      <c r="CL5" s="5374"/>
      <c r="CM5" s="5374"/>
      <c r="CN5" s="5374"/>
      <c r="CO5" s="5374"/>
      <c r="CP5" s="5374"/>
      <c r="CQ5" s="5375"/>
      <c r="CR5" s="5373"/>
      <c r="CS5" s="5374"/>
      <c r="CT5" s="5374"/>
      <c r="CU5" s="5374"/>
      <c r="CV5" s="5374"/>
      <c r="CW5" s="5374"/>
      <c r="CX5" s="5374"/>
      <c r="CY5" s="5374"/>
      <c r="CZ5" s="5375"/>
      <c r="DA5" s="5373"/>
      <c r="DB5" s="5374"/>
      <c r="DC5" s="5374"/>
      <c r="DD5" s="5374"/>
      <c r="DE5" s="5374"/>
      <c r="DF5" s="5374"/>
      <c r="DG5" s="5374"/>
      <c r="DH5" s="5374"/>
      <c r="DI5" s="5375"/>
      <c r="DJ5" s="5373"/>
      <c r="DK5" s="5374"/>
      <c r="DL5" s="5374"/>
      <c r="DM5" s="5374"/>
      <c r="DN5" s="5374"/>
      <c r="DO5" s="5374"/>
      <c r="DP5" s="5374"/>
      <c r="DQ5" s="5374"/>
      <c r="DR5" s="5376"/>
      <c r="DS5" s="5375"/>
      <c r="DT5" s="1184" t="s">
        <v>429</v>
      </c>
      <c r="DV5" s="436"/>
      <c r="DW5" s="436" t="str">
        <f t="shared" si="0"/>
        <v xml:space="preserve">Источник тепловой энергии  </v>
      </c>
      <c r="DX5" s="436"/>
      <c r="DY5" s="436"/>
      <c r="DZ5" s="1081">
        <v>0</v>
      </c>
    </row>
    <row r="6" spans="1:130" ht="14.25" hidden="1" customHeight="1">
      <c r="A6" s="1193"/>
      <c r="B6" s="1193"/>
      <c r="C6" s="1193"/>
      <c r="D6" s="1193"/>
      <c r="E6" s="5416"/>
      <c r="F6" s="5416"/>
      <c r="G6" s="5416"/>
      <c r="H6" s="5416"/>
      <c r="I6" s="5235" t="e">
        <f>U5&amp;".1"</f>
        <v>#N/A</v>
      </c>
      <c r="J6" s="1193"/>
      <c r="K6" s="1193"/>
      <c r="L6" s="1193"/>
      <c r="M6" s="1236" t="s">
        <v>430</v>
      </c>
      <c r="N6" s="445"/>
      <c r="Q6" s="5385">
        <v>1</v>
      </c>
      <c r="R6" s="1257"/>
      <c r="S6" s="1257"/>
      <c r="T6" s="292"/>
      <c r="U6" s="971"/>
      <c r="V6" s="1309"/>
      <c r="W6" s="1310"/>
      <c r="X6" s="5420"/>
      <c r="Y6" s="5421"/>
      <c r="Z6" s="5421"/>
      <c r="AA6" s="5421"/>
      <c r="AB6" s="5421"/>
      <c r="AC6" s="5421"/>
      <c r="AD6" s="5421"/>
      <c r="AE6" s="5421"/>
      <c r="AF6" s="5422"/>
      <c r="AG6" s="5420"/>
      <c r="AH6" s="5421"/>
      <c r="AI6" s="5421"/>
      <c r="AJ6" s="5421"/>
      <c r="AK6" s="5421"/>
      <c r="AL6" s="5421"/>
      <c r="AM6" s="5421"/>
      <c r="AN6" s="5421"/>
      <c r="AO6" s="5421"/>
      <c r="AP6" s="5420"/>
      <c r="AQ6" s="5421"/>
      <c r="AR6" s="5421"/>
      <c r="AS6" s="5421"/>
      <c r="AT6" s="5421"/>
      <c r="AU6" s="5421"/>
      <c r="AV6" s="5421"/>
      <c r="AW6" s="5421"/>
      <c r="AX6" s="5422"/>
      <c r="AY6" s="5420"/>
      <c r="AZ6" s="5421"/>
      <c r="BA6" s="5421"/>
      <c r="BB6" s="5421"/>
      <c r="BC6" s="5421"/>
      <c r="BD6" s="5421"/>
      <c r="BE6" s="5421"/>
      <c r="BF6" s="5421"/>
      <c r="BG6" s="5422"/>
      <c r="BH6" s="5420"/>
      <c r="BI6" s="5421"/>
      <c r="BJ6" s="5421"/>
      <c r="BK6" s="5421"/>
      <c r="BL6" s="5421"/>
      <c r="BM6" s="5421"/>
      <c r="BN6" s="5421"/>
      <c r="BO6" s="5421"/>
      <c r="BP6" s="5422"/>
      <c r="BQ6" s="5420"/>
      <c r="BR6" s="5421"/>
      <c r="BS6" s="5421"/>
      <c r="BT6" s="5421"/>
      <c r="BU6" s="5421"/>
      <c r="BV6" s="5421"/>
      <c r="BW6" s="5421"/>
      <c r="BX6" s="5421"/>
      <c r="BY6" s="5422"/>
      <c r="BZ6" s="5420"/>
      <c r="CA6" s="5421"/>
      <c r="CB6" s="5421"/>
      <c r="CC6" s="5421"/>
      <c r="CD6" s="5421"/>
      <c r="CE6" s="5421"/>
      <c r="CF6" s="5421"/>
      <c r="CG6" s="5421"/>
      <c r="CH6" s="5422"/>
      <c r="CI6" s="5420"/>
      <c r="CJ6" s="5421"/>
      <c r="CK6" s="5421"/>
      <c r="CL6" s="5421"/>
      <c r="CM6" s="5421"/>
      <c r="CN6" s="5421"/>
      <c r="CO6" s="5421"/>
      <c r="CP6" s="5421"/>
      <c r="CQ6" s="5422"/>
      <c r="CR6" s="5420"/>
      <c r="CS6" s="5421"/>
      <c r="CT6" s="5421"/>
      <c r="CU6" s="5421"/>
      <c r="CV6" s="5421"/>
      <c r="CW6" s="5421"/>
      <c r="CX6" s="5421"/>
      <c r="CY6" s="5421"/>
      <c r="CZ6" s="5422"/>
      <c r="DA6" s="5420"/>
      <c r="DB6" s="5421"/>
      <c r="DC6" s="5421"/>
      <c r="DD6" s="5421"/>
      <c r="DE6" s="5421"/>
      <c r="DF6" s="5421"/>
      <c r="DG6" s="5421"/>
      <c r="DH6" s="5421"/>
      <c r="DI6" s="5422"/>
      <c r="DJ6" s="5420"/>
      <c r="DK6" s="5421"/>
      <c r="DL6" s="5421"/>
      <c r="DM6" s="5421"/>
      <c r="DN6" s="5421"/>
      <c r="DO6" s="5421"/>
      <c r="DP6" s="5421"/>
      <c r="DQ6" s="5421"/>
      <c r="DR6" s="5423"/>
      <c r="DS6" s="5422"/>
      <c r="DT6" s="1311"/>
      <c r="DV6" s="436"/>
      <c r="DW6" s="436" t="str">
        <f t="shared" si="0"/>
        <v/>
      </c>
      <c r="DX6" s="436"/>
      <c r="DY6" s="436"/>
      <c r="DZ6" s="1081">
        <v>0</v>
      </c>
    </row>
    <row r="7" spans="1:130" ht="21" hidden="1" customHeight="1">
      <c r="A7" s="1193"/>
      <c r="B7" s="1193"/>
      <c r="C7" s="1193"/>
      <c r="D7" s="1193"/>
      <c r="E7" s="5416"/>
      <c r="F7" s="5416"/>
      <c r="G7" s="5416"/>
      <c r="H7" s="5416"/>
      <c r="I7" s="5217"/>
      <c r="J7" s="5235" t="e">
        <f>I6&amp;".1"</f>
        <v>#N/A</v>
      </c>
      <c r="K7" s="1193"/>
      <c r="L7" s="1193"/>
      <c r="M7" s="1236" t="s">
        <v>433</v>
      </c>
      <c r="N7" s="445"/>
      <c r="O7" s="264"/>
      <c r="Q7" s="5385"/>
      <c r="R7" s="5385">
        <v>1</v>
      </c>
      <c r="S7" s="454"/>
      <c r="T7" s="293"/>
      <c r="U7" s="1262" t="e">
        <f>$J7</f>
        <v>#N/A</v>
      </c>
      <c r="V7" s="223" t="s">
        <v>434</v>
      </c>
      <c r="W7" s="237"/>
      <c r="X7" s="5366"/>
      <c r="Y7" s="5367"/>
      <c r="Z7" s="5367"/>
      <c r="AA7" s="5367"/>
      <c r="AB7" s="5367"/>
      <c r="AC7" s="5362"/>
      <c r="AD7" s="5362"/>
      <c r="AE7" s="5362"/>
      <c r="AF7" s="5434"/>
      <c r="AG7" s="5366"/>
      <c r="AH7" s="5367"/>
      <c r="AI7" s="5367"/>
      <c r="AJ7" s="5367"/>
      <c r="AK7" s="5367"/>
      <c r="AL7" s="5367"/>
      <c r="AM7" s="5367"/>
      <c r="AN7" s="5367"/>
      <c r="AO7" s="5367"/>
      <c r="AP7" s="5366"/>
      <c r="AQ7" s="5367"/>
      <c r="AR7" s="5367"/>
      <c r="AS7" s="5367"/>
      <c r="AT7" s="5367"/>
      <c r="AU7" s="5362"/>
      <c r="AV7" s="5362"/>
      <c r="AW7" s="5362"/>
      <c r="AX7" s="5434"/>
      <c r="AY7" s="5366"/>
      <c r="AZ7" s="5367"/>
      <c r="BA7" s="5367"/>
      <c r="BB7" s="5367"/>
      <c r="BC7" s="5367"/>
      <c r="BD7" s="5362"/>
      <c r="BE7" s="5362"/>
      <c r="BF7" s="5362"/>
      <c r="BG7" s="5434"/>
      <c r="BH7" s="5366"/>
      <c r="BI7" s="5367"/>
      <c r="BJ7" s="5367"/>
      <c r="BK7" s="5367"/>
      <c r="BL7" s="5367"/>
      <c r="BM7" s="5362"/>
      <c r="BN7" s="5362"/>
      <c r="BO7" s="5362"/>
      <c r="BP7" s="5434"/>
      <c r="BQ7" s="5366"/>
      <c r="BR7" s="5367"/>
      <c r="BS7" s="5367"/>
      <c r="BT7" s="5367"/>
      <c r="BU7" s="5367"/>
      <c r="BV7" s="5362"/>
      <c r="BW7" s="5362"/>
      <c r="BX7" s="5362"/>
      <c r="BY7" s="5434"/>
      <c r="BZ7" s="5366"/>
      <c r="CA7" s="5367"/>
      <c r="CB7" s="5367"/>
      <c r="CC7" s="5367"/>
      <c r="CD7" s="5367"/>
      <c r="CE7" s="5362"/>
      <c r="CF7" s="5362"/>
      <c r="CG7" s="5362"/>
      <c r="CH7" s="5434"/>
      <c r="CI7" s="5366"/>
      <c r="CJ7" s="5367"/>
      <c r="CK7" s="5367"/>
      <c r="CL7" s="5367"/>
      <c r="CM7" s="5367"/>
      <c r="CN7" s="5362"/>
      <c r="CO7" s="5362"/>
      <c r="CP7" s="5362"/>
      <c r="CQ7" s="5434"/>
      <c r="CR7" s="5366"/>
      <c r="CS7" s="5367"/>
      <c r="CT7" s="5367"/>
      <c r="CU7" s="5367"/>
      <c r="CV7" s="5367"/>
      <c r="CW7" s="5362"/>
      <c r="CX7" s="5362"/>
      <c r="CY7" s="5362"/>
      <c r="CZ7" s="5434"/>
      <c r="DA7" s="5366"/>
      <c r="DB7" s="5367"/>
      <c r="DC7" s="5367"/>
      <c r="DD7" s="5367"/>
      <c r="DE7" s="5367"/>
      <c r="DF7" s="5362"/>
      <c r="DG7" s="5362"/>
      <c r="DH7" s="5362"/>
      <c r="DI7" s="5434"/>
      <c r="DJ7" s="5366"/>
      <c r="DK7" s="5367"/>
      <c r="DL7" s="5367"/>
      <c r="DM7" s="5367"/>
      <c r="DN7" s="5367"/>
      <c r="DO7" s="5362"/>
      <c r="DP7" s="5362"/>
      <c r="DQ7" s="5362"/>
      <c r="DR7" s="5435"/>
      <c r="DS7" s="5368"/>
      <c r="DT7" s="1184" t="s">
        <v>435</v>
      </c>
      <c r="DV7" s="436"/>
      <c r="DW7" s="436" t="str">
        <f t="shared" si="0"/>
        <v>Группа потребителей</v>
      </c>
      <c r="DX7" s="436"/>
      <c r="DY7" s="436"/>
      <c r="DZ7" s="1081">
        <v>0</v>
      </c>
    </row>
    <row r="8" spans="1:130" ht="21" hidden="1" customHeight="1">
      <c r="A8" s="1193"/>
      <c r="B8" s="1193"/>
      <c r="C8" s="1193"/>
      <c r="D8" s="1193"/>
      <c r="E8" s="5416"/>
      <c r="F8" s="5416"/>
      <c r="G8" s="5416"/>
      <c r="H8" s="5416"/>
      <c r="I8" s="5217"/>
      <c r="J8" s="5217"/>
      <c r="K8" s="5235" t="e">
        <f>J7&amp;".1"</f>
        <v>#N/A</v>
      </c>
      <c r="L8" s="78"/>
      <c r="M8" s="1236" t="s">
        <v>436</v>
      </c>
      <c r="N8" s="445"/>
      <c r="O8" s="264"/>
      <c r="P8" s="264"/>
      <c r="Q8" s="5385"/>
      <c r="R8" s="5385"/>
      <c r="S8" s="5385">
        <v>1</v>
      </c>
      <c r="T8" s="293"/>
      <c r="U8" s="1262" t="e">
        <f>$K8</f>
        <v>#N/A</v>
      </c>
      <c r="V8" s="1273"/>
      <c r="W8" s="237"/>
      <c r="X8" s="687"/>
      <c r="Y8" s="687"/>
      <c r="Z8" s="687"/>
      <c r="AA8" s="687"/>
      <c r="AB8" s="1331"/>
      <c r="AC8" s="5386"/>
      <c r="AD8" s="5245" t="s">
        <v>65</v>
      </c>
      <c r="AE8" s="5386"/>
      <c r="AF8" s="5245" t="s">
        <v>65</v>
      </c>
      <c r="AG8" s="1333"/>
      <c r="AH8" s="687"/>
      <c r="AI8" s="687"/>
      <c r="AJ8" s="687"/>
      <c r="AK8" s="1183"/>
      <c r="AL8" s="5386"/>
      <c r="AM8" s="5245" t="s">
        <v>65</v>
      </c>
      <c r="AN8" s="5386"/>
      <c r="AO8" s="5245" t="s">
        <v>65</v>
      </c>
      <c r="AP8" s="687"/>
      <c r="AQ8" s="687"/>
      <c r="AR8" s="687"/>
      <c r="AS8" s="687"/>
      <c r="AT8" s="1331"/>
      <c r="AU8" s="5386"/>
      <c r="AV8" s="5245" t="s">
        <v>65</v>
      </c>
      <c r="AW8" s="5386"/>
      <c r="AX8" s="5245" t="s">
        <v>65</v>
      </c>
      <c r="AY8" s="687"/>
      <c r="AZ8" s="687"/>
      <c r="BA8" s="687"/>
      <c r="BB8" s="687"/>
      <c r="BC8" s="1331"/>
      <c r="BD8" s="5386"/>
      <c r="BE8" s="5245" t="s">
        <v>65</v>
      </c>
      <c r="BF8" s="5386"/>
      <c r="BG8" s="5245" t="s">
        <v>65</v>
      </c>
      <c r="BH8" s="687"/>
      <c r="BI8" s="687"/>
      <c r="BJ8" s="687"/>
      <c r="BK8" s="687"/>
      <c r="BL8" s="1331"/>
      <c r="BM8" s="5386"/>
      <c r="BN8" s="5245" t="s">
        <v>65</v>
      </c>
      <c r="BO8" s="5386"/>
      <c r="BP8" s="5245" t="s">
        <v>65</v>
      </c>
      <c r="BQ8" s="687"/>
      <c r="BR8" s="687"/>
      <c r="BS8" s="687"/>
      <c r="BT8" s="687"/>
      <c r="BU8" s="1331"/>
      <c r="BV8" s="5386"/>
      <c r="BW8" s="5245" t="s">
        <v>65</v>
      </c>
      <c r="BX8" s="5386"/>
      <c r="BY8" s="5245" t="s">
        <v>65</v>
      </c>
      <c r="BZ8" s="687"/>
      <c r="CA8" s="687"/>
      <c r="CB8" s="687"/>
      <c r="CC8" s="687"/>
      <c r="CD8" s="1331"/>
      <c r="CE8" s="5386"/>
      <c r="CF8" s="5245" t="s">
        <v>65</v>
      </c>
      <c r="CG8" s="5386"/>
      <c r="CH8" s="5245" t="s">
        <v>65</v>
      </c>
      <c r="CI8" s="687"/>
      <c r="CJ8" s="687"/>
      <c r="CK8" s="687"/>
      <c r="CL8" s="687"/>
      <c r="CM8" s="1331"/>
      <c r="CN8" s="5386"/>
      <c r="CO8" s="5245" t="s">
        <v>65</v>
      </c>
      <c r="CP8" s="5386"/>
      <c r="CQ8" s="5245" t="s">
        <v>65</v>
      </c>
      <c r="CR8" s="687"/>
      <c r="CS8" s="687"/>
      <c r="CT8" s="687"/>
      <c r="CU8" s="687"/>
      <c r="CV8" s="1331"/>
      <c r="CW8" s="5386"/>
      <c r="CX8" s="5245" t="s">
        <v>65</v>
      </c>
      <c r="CY8" s="5386"/>
      <c r="CZ8" s="5245" t="s">
        <v>65</v>
      </c>
      <c r="DA8" s="687"/>
      <c r="DB8" s="687"/>
      <c r="DC8" s="687"/>
      <c r="DD8" s="687"/>
      <c r="DE8" s="1331"/>
      <c r="DF8" s="5386"/>
      <c r="DG8" s="5245" t="s">
        <v>65</v>
      </c>
      <c r="DH8" s="5386"/>
      <c r="DI8" s="5245" t="s">
        <v>65</v>
      </c>
      <c r="DJ8" s="687"/>
      <c r="DK8" s="687"/>
      <c r="DL8" s="687"/>
      <c r="DM8" s="687"/>
      <c r="DN8" s="1331"/>
      <c r="DO8" s="5386"/>
      <c r="DP8" s="5245" t="s">
        <v>65</v>
      </c>
      <c r="DQ8" s="5386"/>
      <c r="DR8" s="5245" t="s">
        <v>65</v>
      </c>
      <c r="DS8" s="262"/>
      <c r="DT8" s="1233" t="s">
        <v>481</v>
      </c>
      <c r="DU8" s="447" t="e">
        <f ca="1">STRCHECKDATE(X10:DS10)</f>
        <v>#NAME?</v>
      </c>
      <c r="DV8" s="436"/>
      <c r="DW8" s="436" t="str">
        <f t="shared" si="0"/>
        <v/>
      </c>
      <c r="DX8" s="436"/>
      <c r="DY8" s="436"/>
      <c r="DZ8" s="1081">
        <v>0</v>
      </c>
    </row>
    <row r="9" spans="1:130" ht="21" hidden="1" customHeight="1">
      <c r="A9" s="1193"/>
      <c r="B9" s="1193"/>
      <c r="C9" s="1193"/>
      <c r="D9" s="1193"/>
      <c r="E9" s="5416"/>
      <c r="F9" s="5416"/>
      <c r="G9" s="5416"/>
      <c r="H9" s="5416"/>
      <c r="I9" s="5217"/>
      <c r="J9" s="5217"/>
      <c r="K9" s="5217"/>
      <c r="L9" s="5235" t="e">
        <f>K8&amp;".1"</f>
        <v>#N/A</v>
      </c>
      <c r="M9" s="1236"/>
      <c r="N9" s="445"/>
      <c r="O9" s="264"/>
      <c r="P9" s="264"/>
      <c r="Q9" s="5385"/>
      <c r="R9" s="5385"/>
      <c r="S9" s="5385"/>
      <c r="T9" s="293"/>
      <c r="U9" s="1262" t="e">
        <f>$L9</f>
        <v>#N/A</v>
      </c>
      <c r="V9" s="1317"/>
      <c r="W9" s="237"/>
      <c r="X9" s="262"/>
      <c r="Y9" s="687"/>
      <c r="Z9" s="687"/>
      <c r="AA9" s="687"/>
      <c r="AB9" s="1331"/>
      <c r="AC9" s="5387"/>
      <c r="AD9" s="5245"/>
      <c r="AE9" s="5387"/>
      <c r="AF9" s="5245"/>
      <c r="AG9" s="1333"/>
      <c r="AH9" s="687"/>
      <c r="AI9" s="687"/>
      <c r="AJ9" s="687"/>
      <c r="AK9" s="1183"/>
      <c r="AL9" s="5387"/>
      <c r="AM9" s="5245"/>
      <c r="AN9" s="5387"/>
      <c r="AO9" s="5245"/>
      <c r="AP9" s="262"/>
      <c r="AQ9" s="687"/>
      <c r="AR9" s="687"/>
      <c r="AS9" s="687"/>
      <c r="AT9" s="1331"/>
      <c r="AU9" s="5387"/>
      <c r="AV9" s="5245"/>
      <c r="AW9" s="5387"/>
      <c r="AX9" s="5245"/>
      <c r="AY9" s="262"/>
      <c r="AZ9" s="687"/>
      <c r="BA9" s="687"/>
      <c r="BB9" s="687"/>
      <c r="BC9" s="1331"/>
      <c r="BD9" s="5387"/>
      <c r="BE9" s="5245"/>
      <c r="BF9" s="5387"/>
      <c r="BG9" s="5245"/>
      <c r="BH9" s="262"/>
      <c r="BI9" s="687"/>
      <c r="BJ9" s="687"/>
      <c r="BK9" s="687"/>
      <c r="BL9" s="1331"/>
      <c r="BM9" s="5387"/>
      <c r="BN9" s="5245"/>
      <c r="BO9" s="5387"/>
      <c r="BP9" s="5245"/>
      <c r="BQ9" s="262"/>
      <c r="BR9" s="687"/>
      <c r="BS9" s="687"/>
      <c r="BT9" s="687"/>
      <c r="BU9" s="1331"/>
      <c r="BV9" s="5387"/>
      <c r="BW9" s="5245"/>
      <c r="BX9" s="5387"/>
      <c r="BY9" s="5245"/>
      <c r="BZ9" s="262"/>
      <c r="CA9" s="687"/>
      <c r="CB9" s="687"/>
      <c r="CC9" s="687"/>
      <c r="CD9" s="1331"/>
      <c r="CE9" s="5387"/>
      <c r="CF9" s="5245"/>
      <c r="CG9" s="5387"/>
      <c r="CH9" s="5245"/>
      <c r="CI9" s="262"/>
      <c r="CJ9" s="687"/>
      <c r="CK9" s="687"/>
      <c r="CL9" s="687"/>
      <c r="CM9" s="1331"/>
      <c r="CN9" s="5387"/>
      <c r="CO9" s="5245"/>
      <c r="CP9" s="5387"/>
      <c r="CQ9" s="5245"/>
      <c r="CR9" s="262"/>
      <c r="CS9" s="687"/>
      <c r="CT9" s="687"/>
      <c r="CU9" s="687"/>
      <c r="CV9" s="1331"/>
      <c r="CW9" s="5387"/>
      <c r="CX9" s="5245"/>
      <c r="CY9" s="5387"/>
      <c r="CZ9" s="5245"/>
      <c r="DA9" s="262"/>
      <c r="DB9" s="687"/>
      <c r="DC9" s="687"/>
      <c r="DD9" s="687"/>
      <c r="DE9" s="1331"/>
      <c r="DF9" s="5387"/>
      <c r="DG9" s="5245"/>
      <c r="DH9" s="5387"/>
      <c r="DI9" s="5245"/>
      <c r="DJ9" s="262"/>
      <c r="DK9" s="687"/>
      <c r="DL9" s="687"/>
      <c r="DM9" s="687"/>
      <c r="DN9" s="1331"/>
      <c r="DO9" s="5387"/>
      <c r="DP9" s="5245"/>
      <c r="DQ9" s="5387"/>
      <c r="DR9" s="5245"/>
      <c r="DS9" s="262"/>
      <c r="DT9" s="5405" t="s">
        <v>482</v>
      </c>
      <c r="DV9" s="436"/>
      <c r="DW9" s="436"/>
      <c r="DX9" s="436"/>
      <c r="DY9" s="436"/>
      <c r="DZ9" s="1081">
        <v>0</v>
      </c>
    </row>
    <row r="10" spans="1:130" ht="14.25" hidden="1" customHeight="1">
      <c r="A10" s="1193"/>
      <c r="B10" s="1193"/>
      <c r="C10" s="1193"/>
      <c r="D10" s="1193"/>
      <c r="E10" s="5416"/>
      <c r="F10" s="5416"/>
      <c r="G10" s="5416"/>
      <c r="H10" s="5416"/>
      <c r="I10" s="5217"/>
      <c r="J10" s="5217"/>
      <c r="K10" s="5217"/>
      <c r="L10" s="5235"/>
      <c r="M10" s="1236"/>
      <c r="N10" s="445"/>
      <c r="O10" s="264"/>
      <c r="P10" s="264"/>
      <c r="Q10" s="5385"/>
      <c r="R10" s="5385"/>
      <c r="S10" s="5385"/>
      <c r="T10" s="293"/>
      <c r="U10" s="1268"/>
      <c r="V10" s="237"/>
      <c r="W10" s="237"/>
      <c r="X10" s="262"/>
      <c r="Y10" s="262"/>
      <c r="Z10" s="262"/>
      <c r="AA10" s="262"/>
      <c r="AB10" s="1332" t="str">
        <f>AC8&amp;"-"&amp;AE8</f>
        <v>-</v>
      </c>
      <c r="AC10" s="5387"/>
      <c r="AD10" s="5245"/>
      <c r="AE10" s="5387"/>
      <c r="AF10" s="5245"/>
      <c r="AG10" s="1308"/>
      <c r="AH10" s="262"/>
      <c r="AI10" s="262"/>
      <c r="AJ10" s="262"/>
      <c r="AK10" s="265" t="str">
        <f>AL8&amp;"-"&amp;AN8</f>
        <v>-</v>
      </c>
      <c r="AL10" s="5387"/>
      <c r="AM10" s="5245"/>
      <c r="AN10" s="5387"/>
      <c r="AO10" s="5245"/>
      <c r="AP10" s="262"/>
      <c r="AQ10" s="262"/>
      <c r="AR10" s="262"/>
      <c r="AS10" s="262"/>
      <c r="AT10" s="1332" t="str">
        <f>AU8&amp;"-"&amp;AW8</f>
        <v>-</v>
      </c>
      <c r="AU10" s="5387"/>
      <c r="AV10" s="5245"/>
      <c r="AW10" s="5387"/>
      <c r="AX10" s="5245"/>
      <c r="AY10" s="262"/>
      <c r="AZ10" s="262"/>
      <c r="BA10" s="262"/>
      <c r="BB10" s="262"/>
      <c r="BC10" s="1332" t="str">
        <f>BD8&amp;"-"&amp;BF8</f>
        <v>-</v>
      </c>
      <c r="BD10" s="5387"/>
      <c r="BE10" s="5245"/>
      <c r="BF10" s="5387"/>
      <c r="BG10" s="5245"/>
      <c r="BH10" s="262"/>
      <c r="BI10" s="262"/>
      <c r="BJ10" s="262"/>
      <c r="BK10" s="262"/>
      <c r="BL10" s="1332" t="str">
        <f>BM8&amp;"-"&amp;BO8</f>
        <v>-</v>
      </c>
      <c r="BM10" s="5387"/>
      <c r="BN10" s="5245"/>
      <c r="BO10" s="5387"/>
      <c r="BP10" s="5245"/>
      <c r="BQ10" s="262"/>
      <c r="BR10" s="262"/>
      <c r="BS10" s="262"/>
      <c r="BT10" s="262"/>
      <c r="BU10" s="1332" t="str">
        <f>BV8&amp;"-"&amp;BX8</f>
        <v>-</v>
      </c>
      <c r="BV10" s="5387"/>
      <c r="BW10" s="5245"/>
      <c r="BX10" s="5387"/>
      <c r="BY10" s="5245"/>
      <c r="BZ10" s="262"/>
      <c r="CA10" s="262"/>
      <c r="CB10" s="262"/>
      <c r="CC10" s="262"/>
      <c r="CD10" s="1332" t="str">
        <f>CE8&amp;"-"&amp;CG8</f>
        <v>-</v>
      </c>
      <c r="CE10" s="5387"/>
      <c r="CF10" s="5245"/>
      <c r="CG10" s="5387"/>
      <c r="CH10" s="5245"/>
      <c r="CI10" s="262"/>
      <c r="CJ10" s="262"/>
      <c r="CK10" s="262"/>
      <c r="CL10" s="262"/>
      <c r="CM10" s="1332" t="str">
        <f>CN8&amp;"-"&amp;CP8</f>
        <v>-</v>
      </c>
      <c r="CN10" s="5387"/>
      <c r="CO10" s="5245"/>
      <c r="CP10" s="5387"/>
      <c r="CQ10" s="5245"/>
      <c r="CR10" s="262"/>
      <c r="CS10" s="262"/>
      <c r="CT10" s="262"/>
      <c r="CU10" s="262"/>
      <c r="CV10" s="1332" t="str">
        <f>CW8&amp;"-"&amp;CY8</f>
        <v>-</v>
      </c>
      <c r="CW10" s="5387"/>
      <c r="CX10" s="5245"/>
      <c r="CY10" s="5387"/>
      <c r="CZ10" s="5245"/>
      <c r="DA10" s="262"/>
      <c r="DB10" s="262"/>
      <c r="DC10" s="262"/>
      <c r="DD10" s="262"/>
      <c r="DE10" s="1332" t="str">
        <f>DF8&amp;"-"&amp;DH8</f>
        <v>-</v>
      </c>
      <c r="DF10" s="5387"/>
      <c r="DG10" s="5245"/>
      <c r="DH10" s="5387"/>
      <c r="DI10" s="5245"/>
      <c r="DJ10" s="262"/>
      <c r="DK10" s="262"/>
      <c r="DL10" s="262"/>
      <c r="DM10" s="262"/>
      <c r="DN10" s="1332" t="str">
        <f>DO8&amp;"-"&amp;DQ8</f>
        <v>-</v>
      </c>
      <c r="DO10" s="5387"/>
      <c r="DP10" s="5245"/>
      <c r="DQ10" s="5387"/>
      <c r="DR10" s="5245"/>
      <c r="DS10" s="262"/>
      <c r="DT10" s="5406"/>
      <c r="DV10" s="436"/>
      <c r="DW10" s="436" t="str">
        <f>IF(V10="","",V10)</f>
        <v/>
      </c>
      <c r="DX10" s="436"/>
      <c r="DY10" s="436"/>
      <c r="DZ10" s="1081">
        <v>0</v>
      </c>
    </row>
    <row r="11" spans="1:130" ht="11.25" hidden="1" customHeight="1">
      <c r="A11" s="1193"/>
      <c r="B11" s="1193"/>
      <c r="C11" s="1193"/>
      <c r="D11" s="1193"/>
      <c r="E11" s="5416"/>
      <c r="F11" s="5416"/>
      <c r="G11" s="5416"/>
      <c r="H11" s="5416"/>
      <c r="I11" s="5217"/>
      <c r="J11" s="5217"/>
      <c r="K11" s="5235"/>
      <c r="L11" s="1193"/>
      <c r="M11" s="1236"/>
      <c r="N11" s="445"/>
      <c r="O11" s="264"/>
      <c r="P11" s="264"/>
      <c r="Q11" s="5385"/>
      <c r="R11" s="5385"/>
      <c r="S11" s="5385"/>
      <c r="T11" s="293"/>
      <c r="U11" s="1204"/>
      <c r="V11" s="225" t="s">
        <v>483</v>
      </c>
      <c r="W11" s="1318"/>
      <c r="X11" s="1319"/>
      <c r="Y11" s="1319"/>
      <c r="Z11" s="1319"/>
      <c r="AA11" s="1319"/>
      <c r="AB11" s="1320"/>
      <c r="AC11" s="5387"/>
      <c r="AD11" s="5245"/>
      <c r="AE11" s="5387"/>
      <c r="AF11" s="5245"/>
      <c r="AG11" s="1319"/>
      <c r="AH11" s="1319"/>
      <c r="AI11" s="1319"/>
      <c r="AJ11" s="1319"/>
      <c r="AK11" s="1320"/>
      <c r="AL11" s="5387"/>
      <c r="AM11" s="5245"/>
      <c r="AN11" s="5387"/>
      <c r="AO11" s="5245"/>
      <c r="AP11" s="4423"/>
      <c r="AQ11" s="4424"/>
      <c r="AR11" s="4425"/>
      <c r="AS11" s="4426"/>
      <c r="AT11" s="4427"/>
      <c r="AU11" s="5387"/>
      <c r="AV11" s="5245"/>
      <c r="AW11" s="5387"/>
      <c r="AX11" s="5245"/>
      <c r="AY11" s="4428"/>
      <c r="AZ11" s="4429"/>
      <c r="BA11" s="4430"/>
      <c r="BB11" s="4431"/>
      <c r="BC11" s="4432"/>
      <c r="BD11" s="5387"/>
      <c r="BE11" s="5245"/>
      <c r="BF11" s="5387"/>
      <c r="BG11" s="5245"/>
      <c r="BH11" s="4433"/>
      <c r="BI11" s="4434"/>
      <c r="BJ11" s="4435"/>
      <c r="BK11" s="4436"/>
      <c r="BL11" s="4437"/>
      <c r="BM11" s="5387"/>
      <c r="BN11" s="5245"/>
      <c r="BO11" s="5387"/>
      <c r="BP11" s="5245"/>
      <c r="BQ11" s="4438"/>
      <c r="BR11" s="4439"/>
      <c r="BS11" s="4440"/>
      <c r="BT11" s="4441"/>
      <c r="BU11" s="4442"/>
      <c r="BV11" s="5387"/>
      <c r="BW11" s="5245"/>
      <c r="BX11" s="5387"/>
      <c r="BY11" s="5245"/>
      <c r="BZ11" s="4443"/>
      <c r="CA11" s="4444"/>
      <c r="CB11" s="4445"/>
      <c r="CC11" s="4446"/>
      <c r="CD11" s="4447"/>
      <c r="CE11" s="5387"/>
      <c r="CF11" s="5245"/>
      <c r="CG11" s="5387"/>
      <c r="CH11" s="5245"/>
      <c r="CI11" s="4448"/>
      <c r="CJ11" s="4449"/>
      <c r="CK11" s="4450"/>
      <c r="CL11" s="4451"/>
      <c r="CM11" s="4452"/>
      <c r="CN11" s="5387"/>
      <c r="CO11" s="5245"/>
      <c r="CP11" s="5387"/>
      <c r="CQ11" s="5245"/>
      <c r="CR11" s="4453"/>
      <c r="CS11" s="4454"/>
      <c r="CT11" s="4455"/>
      <c r="CU11" s="4456"/>
      <c r="CV11" s="4457"/>
      <c r="CW11" s="5387"/>
      <c r="CX11" s="5245"/>
      <c r="CY11" s="5387"/>
      <c r="CZ11" s="5245"/>
      <c r="DA11" s="4458"/>
      <c r="DB11" s="4459"/>
      <c r="DC11" s="4460"/>
      <c r="DD11" s="4461"/>
      <c r="DE11" s="4462"/>
      <c r="DF11" s="5387"/>
      <c r="DG11" s="5245"/>
      <c r="DH11" s="5387"/>
      <c r="DI11" s="5245"/>
      <c r="DJ11" s="4463"/>
      <c r="DK11" s="4464"/>
      <c r="DL11" s="4465"/>
      <c r="DM11" s="4466"/>
      <c r="DN11" s="4467"/>
      <c r="DO11" s="5387"/>
      <c r="DP11" s="5245"/>
      <c r="DQ11" s="5387"/>
      <c r="DR11" s="5245"/>
      <c r="DS11" s="1321"/>
      <c r="DT11" s="5406"/>
      <c r="DV11" s="436"/>
      <c r="DW11" s="436"/>
      <c r="DX11" s="436"/>
      <c r="DY11" s="436"/>
      <c r="DZ11" s="1081">
        <v>0</v>
      </c>
    </row>
    <row r="12" spans="1:130" ht="15" hidden="1" customHeight="1">
      <c r="A12" s="1193"/>
      <c r="B12" s="1193"/>
      <c r="C12" s="1193"/>
      <c r="D12" s="1193"/>
      <c r="E12" s="5416"/>
      <c r="F12" s="5416"/>
      <c r="G12" s="5416"/>
      <c r="H12" s="5416"/>
      <c r="I12" s="5217"/>
      <c r="J12" s="5235"/>
      <c r="K12" s="1193"/>
      <c r="L12" s="1193"/>
      <c r="M12" s="1236"/>
      <c r="N12" s="445"/>
      <c r="O12" s="264"/>
      <c r="Q12" s="5385"/>
      <c r="R12" s="5385"/>
      <c r="S12" s="1257"/>
      <c r="T12" s="292"/>
      <c r="U12" s="1204"/>
      <c r="V12" s="224" t="s">
        <v>438</v>
      </c>
      <c r="W12" s="303"/>
      <c r="X12" s="303"/>
      <c r="Y12" s="303"/>
      <c r="Z12" s="303"/>
      <c r="AA12" s="303"/>
      <c r="AB12" s="303"/>
      <c r="AC12" s="1334"/>
      <c r="AD12" s="1334"/>
      <c r="AE12" s="1334"/>
      <c r="AF12" s="1334"/>
      <c r="AG12" s="303"/>
      <c r="AH12" s="303"/>
      <c r="AI12" s="303"/>
      <c r="AJ12" s="303"/>
      <c r="AK12" s="303"/>
      <c r="AL12" s="303"/>
      <c r="AM12" s="303"/>
      <c r="AN12" s="303"/>
      <c r="AO12" s="303"/>
      <c r="AP12" s="4468"/>
      <c r="AQ12" s="4469"/>
      <c r="AR12" s="4470"/>
      <c r="AS12" s="4471"/>
      <c r="AT12" s="4472"/>
      <c r="AU12" s="4473"/>
      <c r="AV12" s="4474"/>
      <c r="AW12" s="4475"/>
      <c r="AX12" s="4476"/>
      <c r="AY12" s="4477"/>
      <c r="AZ12" s="4478"/>
      <c r="BA12" s="4479"/>
      <c r="BB12" s="4480"/>
      <c r="BC12" s="4481"/>
      <c r="BD12" s="4482"/>
      <c r="BE12" s="4483"/>
      <c r="BF12" s="4484"/>
      <c r="BG12" s="4485"/>
      <c r="BH12" s="4486"/>
      <c r="BI12" s="4487"/>
      <c r="BJ12" s="4488"/>
      <c r="BK12" s="4489"/>
      <c r="BL12" s="4490"/>
      <c r="BM12" s="4491"/>
      <c r="BN12" s="4492"/>
      <c r="BO12" s="4493"/>
      <c r="BP12" s="4494"/>
      <c r="BQ12" s="4495"/>
      <c r="BR12" s="4496"/>
      <c r="BS12" s="4497"/>
      <c r="BT12" s="4498"/>
      <c r="BU12" s="4499"/>
      <c r="BV12" s="4500"/>
      <c r="BW12" s="4501"/>
      <c r="BX12" s="4502"/>
      <c r="BY12" s="4503"/>
      <c r="BZ12" s="4504"/>
      <c r="CA12" s="4505"/>
      <c r="CB12" s="4506"/>
      <c r="CC12" s="4507"/>
      <c r="CD12" s="4508"/>
      <c r="CE12" s="4509"/>
      <c r="CF12" s="4510"/>
      <c r="CG12" s="4511"/>
      <c r="CH12" s="4512"/>
      <c r="CI12" s="4513"/>
      <c r="CJ12" s="4514"/>
      <c r="CK12" s="4515"/>
      <c r="CL12" s="4516"/>
      <c r="CM12" s="4517"/>
      <c r="CN12" s="4518"/>
      <c r="CO12" s="4519"/>
      <c r="CP12" s="4520"/>
      <c r="CQ12" s="4521"/>
      <c r="CR12" s="4522"/>
      <c r="CS12" s="4523"/>
      <c r="CT12" s="4524"/>
      <c r="CU12" s="4525"/>
      <c r="CV12" s="4526"/>
      <c r="CW12" s="4527"/>
      <c r="CX12" s="4528"/>
      <c r="CY12" s="4529"/>
      <c r="CZ12" s="4530"/>
      <c r="DA12" s="4531"/>
      <c r="DB12" s="4532"/>
      <c r="DC12" s="4533"/>
      <c r="DD12" s="4534"/>
      <c r="DE12" s="4535"/>
      <c r="DF12" s="4536"/>
      <c r="DG12" s="4537"/>
      <c r="DH12" s="4538"/>
      <c r="DI12" s="4539"/>
      <c r="DJ12" s="4540"/>
      <c r="DK12" s="4541"/>
      <c r="DL12" s="4542"/>
      <c r="DM12" s="4543"/>
      <c r="DN12" s="4544"/>
      <c r="DO12" s="4545"/>
      <c r="DP12" s="4546"/>
      <c r="DQ12" s="4547"/>
      <c r="DR12" s="5193"/>
      <c r="DS12" s="261"/>
      <c r="DT12" s="5407"/>
      <c r="DV12" s="436"/>
      <c r="DW12" s="436" t="str">
        <f t="shared" ref="DW12:DW17" si="1">IF(V12="","",V12)</f>
        <v>Добавить вид теплоносителя (параметры теплоносителя)</v>
      </c>
      <c r="DX12" s="436"/>
      <c r="DY12" s="436"/>
      <c r="DZ12" s="1081">
        <v>0</v>
      </c>
    </row>
    <row r="13" spans="1:130" ht="11.25" hidden="1" customHeight="1">
      <c r="A13" s="1193"/>
      <c r="B13" s="1193"/>
      <c r="C13" s="1193"/>
      <c r="D13" s="1193"/>
      <c r="E13" s="5416"/>
      <c r="F13" s="5416"/>
      <c r="G13" s="5416"/>
      <c r="H13" s="5416"/>
      <c r="I13" s="5235"/>
      <c r="J13" s="1193"/>
      <c r="K13" s="1193"/>
      <c r="L13" s="1193"/>
      <c r="M13" s="1236"/>
      <c r="N13" s="445"/>
      <c r="Q13" s="5385"/>
      <c r="R13" s="1257"/>
      <c r="S13" s="1257"/>
      <c r="T13" s="292"/>
      <c r="U13" s="1204"/>
      <c r="V13" s="301" t="s">
        <v>439</v>
      </c>
      <c r="W13" s="303"/>
      <c r="X13" s="303"/>
      <c r="Y13" s="303"/>
      <c r="Z13" s="303"/>
      <c r="AA13" s="303"/>
      <c r="AB13" s="303"/>
      <c r="AC13" s="303"/>
      <c r="AD13" s="303"/>
      <c r="AE13" s="303"/>
      <c r="AF13" s="302"/>
      <c r="AG13" s="303"/>
      <c r="AH13" s="303"/>
      <c r="AI13" s="303"/>
      <c r="AJ13" s="303"/>
      <c r="AK13" s="303"/>
      <c r="AL13" s="303"/>
      <c r="AM13" s="303"/>
      <c r="AN13" s="303"/>
      <c r="AO13" s="302"/>
      <c r="AP13" s="4548"/>
      <c r="AQ13" s="4549"/>
      <c r="AR13" s="4550"/>
      <c r="AS13" s="4551"/>
      <c r="AT13" s="4552"/>
      <c r="AU13" s="4553"/>
      <c r="AV13" s="4554"/>
      <c r="AW13" s="4555"/>
      <c r="AX13" s="4556"/>
      <c r="AY13" s="4557"/>
      <c r="AZ13" s="4558"/>
      <c r="BA13" s="4559"/>
      <c r="BB13" s="4560"/>
      <c r="BC13" s="4561"/>
      <c r="BD13" s="4562"/>
      <c r="BE13" s="4563"/>
      <c r="BF13" s="4564"/>
      <c r="BG13" s="4565"/>
      <c r="BH13" s="4566"/>
      <c r="BI13" s="4567"/>
      <c r="BJ13" s="4568"/>
      <c r="BK13" s="4569"/>
      <c r="BL13" s="4570"/>
      <c r="BM13" s="4571"/>
      <c r="BN13" s="4572"/>
      <c r="BO13" s="4573"/>
      <c r="BP13" s="4574"/>
      <c r="BQ13" s="4575"/>
      <c r="BR13" s="4576"/>
      <c r="BS13" s="4577"/>
      <c r="BT13" s="4578"/>
      <c r="BU13" s="4579"/>
      <c r="BV13" s="4580"/>
      <c r="BW13" s="4581"/>
      <c r="BX13" s="4582"/>
      <c r="BY13" s="4583"/>
      <c r="BZ13" s="4584"/>
      <c r="CA13" s="4585"/>
      <c r="CB13" s="4586"/>
      <c r="CC13" s="4587"/>
      <c r="CD13" s="4588"/>
      <c r="CE13" s="4589"/>
      <c r="CF13" s="4590"/>
      <c r="CG13" s="4591"/>
      <c r="CH13" s="4592"/>
      <c r="CI13" s="4593"/>
      <c r="CJ13" s="4594"/>
      <c r="CK13" s="4595"/>
      <c r="CL13" s="4596"/>
      <c r="CM13" s="4597"/>
      <c r="CN13" s="4598"/>
      <c r="CO13" s="4599"/>
      <c r="CP13" s="4600"/>
      <c r="CQ13" s="4601"/>
      <c r="CR13" s="4602"/>
      <c r="CS13" s="4603"/>
      <c r="CT13" s="4604"/>
      <c r="CU13" s="4605"/>
      <c r="CV13" s="4606"/>
      <c r="CW13" s="4607"/>
      <c r="CX13" s="4608"/>
      <c r="CY13" s="4609"/>
      <c r="CZ13" s="4610"/>
      <c r="DA13" s="4611"/>
      <c r="DB13" s="4612"/>
      <c r="DC13" s="4613"/>
      <c r="DD13" s="4614"/>
      <c r="DE13" s="4615"/>
      <c r="DF13" s="4616"/>
      <c r="DG13" s="4617"/>
      <c r="DH13" s="4618"/>
      <c r="DI13" s="4619"/>
      <c r="DJ13" s="4620"/>
      <c r="DK13" s="4621"/>
      <c r="DL13" s="4622"/>
      <c r="DM13" s="4623"/>
      <c r="DN13" s="4624"/>
      <c r="DO13" s="4625"/>
      <c r="DP13" s="4626"/>
      <c r="DQ13" s="4627"/>
      <c r="DR13" s="5194"/>
      <c r="DS13" s="303"/>
      <c r="DT13" s="240"/>
      <c r="DV13" s="436"/>
      <c r="DW13" s="436" t="str">
        <f t="shared" si="1"/>
        <v>Добавить группу потребителей</v>
      </c>
      <c r="DX13" s="436"/>
      <c r="DY13" s="436"/>
      <c r="DZ13" s="1081">
        <v>0</v>
      </c>
    </row>
    <row r="14" spans="1:130" ht="14.25" hidden="1" customHeight="1">
      <c r="A14" s="1193"/>
      <c r="B14" s="1193"/>
      <c r="C14" s="1193"/>
      <c r="D14" s="1193"/>
      <c r="E14" s="5416"/>
      <c r="F14" s="5416"/>
      <c r="G14" s="5416"/>
      <c r="H14" s="5415"/>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c r="BG14" s="1314"/>
      <c r="BH14" s="1314"/>
      <c r="BI14" s="1314"/>
      <c r="BJ14" s="1314"/>
      <c r="BK14" s="1314"/>
      <c r="BL14" s="1314"/>
      <c r="BM14" s="1314"/>
      <c r="BN14" s="1314"/>
      <c r="BO14" s="1314"/>
      <c r="BP14" s="1314"/>
      <c r="BQ14" s="1314"/>
      <c r="BR14" s="1314"/>
      <c r="BS14" s="1314"/>
      <c r="BT14" s="1314"/>
      <c r="BU14" s="1314"/>
      <c r="BV14" s="1314"/>
      <c r="BW14" s="1314"/>
      <c r="BX14" s="1314"/>
      <c r="BY14" s="1314"/>
      <c r="BZ14" s="1314"/>
      <c r="CA14" s="1314"/>
      <c r="CB14" s="1314"/>
      <c r="CC14" s="1314"/>
      <c r="CD14" s="1314"/>
      <c r="CE14" s="1314"/>
      <c r="CF14" s="1314"/>
      <c r="CG14" s="1314"/>
      <c r="CH14" s="1314"/>
      <c r="CI14" s="1314"/>
      <c r="CJ14" s="1314"/>
      <c r="CK14" s="1314"/>
      <c r="CL14" s="1314"/>
      <c r="CM14" s="1314"/>
      <c r="CN14" s="1314"/>
      <c r="CO14" s="1314"/>
      <c r="CP14" s="1314"/>
      <c r="CQ14" s="1314"/>
      <c r="CR14" s="1314"/>
      <c r="CS14" s="1314"/>
      <c r="CT14" s="1314"/>
      <c r="CU14" s="1314"/>
      <c r="CV14" s="1314"/>
      <c r="CW14" s="1314"/>
      <c r="CX14" s="1314"/>
      <c r="CY14" s="1314"/>
      <c r="CZ14" s="1314"/>
      <c r="DA14" s="1314"/>
      <c r="DB14" s="1314"/>
      <c r="DC14" s="1314"/>
      <c r="DD14" s="1314"/>
      <c r="DE14" s="1314"/>
      <c r="DF14" s="1314"/>
      <c r="DG14" s="1314"/>
      <c r="DH14" s="1314"/>
      <c r="DI14" s="1314"/>
      <c r="DJ14" s="1314"/>
      <c r="DK14" s="1314"/>
      <c r="DL14" s="1314"/>
      <c r="DM14" s="1314"/>
      <c r="DN14" s="1314"/>
      <c r="DO14" s="1314"/>
      <c r="DP14" s="1314"/>
      <c r="DQ14" s="1314"/>
      <c r="DR14" s="1314"/>
      <c r="DS14" s="1314"/>
      <c r="DT14" s="1315"/>
      <c r="DV14" s="436"/>
      <c r="DW14" s="436" t="str">
        <f t="shared" si="1"/>
        <v/>
      </c>
      <c r="DX14" s="436"/>
      <c r="DY14" s="436"/>
      <c r="DZ14" s="1081">
        <v>0</v>
      </c>
    </row>
    <row r="15" spans="1:130" s="1568" customFormat="1" ht="14.25" hidden="1" customHeight="1">
      <c r="A15" s="1300"/>
      <c r="B15" s="1300"/>
      <c r="C15" s="1300"/>
      <c r="D15" s="1300"/>
      <c r="E15" s="5416"/>
      <c r="F15" s="5416"/>
      <c r="G15" s="5415"/>
      <c r="H15" s="1300"/>
      <c r="I15" s="1300"/>
      <c r="J15" s="1300"/>
      <c r="K15" s="1300"/>
      <c r="L15" s="1300"/>
      <c r="M15" s="1303"/>
      <c r="N15" s="1304"/>
      <c r="O15" s="1304"/>
      <c r="P15" s="287"/>
      <c r="Q15" s="1242"/>
      <c r="R15" s="1243"/>
      <c r="S15" s="1242"/>
      <c r="T15" s="1242"/>
      <c r="U15" s="1244"/>
      <c r="V15" s="1245" t="s">
        <v>163</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c r="CB15" s="1246"/>
      <c r="CC15" s="1246"/>
      <c r="CD15" s="1246"/>
      <c r="CE15" s="1246"/>
      <c r="CF15" s="1246"/>
      <c r="CG15" s="1246"/>
      <c r="CH15" s="1246"/>
      <c r="CI15" s="1246"/>
      <c r="CJ15" s="1246"/>
      <c r="CK15" s="1246"/>
      <c r="CL15" s="1246"/>
      <c r="CM15" s="1246"/>
      <c r="CN15" s="1246"/>
      <c r="CO15" s="1246"/>
      <c r="CP15" s="1246"/>
      <c r="CQ15" s="1246"/>
      <c r="CR15" s="1246"/>
      <c r="CS15" s="1246"/>
      <c r="CT15" s="1246"/>
      <c r="CU15" s="1246"/>
      <c r="CV15" s="1246"/>
      <c r="CW15" s="1246"/>
      <c r="CX15" s="1246"/>
      <c r="CY15" s="1246"/>
      <c r="CZ15" s="1246"/>
      <c r="DA15" s="1246"/>
      <c r="DB15" s="1246"/>
      <c r="DC15" s="1246"/>
      <c r="DD15" s="1246"/>
      <c r="DE15" s="1246"/>
      <c r="DF15" s="1246"/>
      <c r="DG15" s="1246"/>
      <c r="DH15" s="1246"/>
      <c r="DI15" s="1246"/>
      <c r="DJ15" s="1246"/>
      <c r="DK15" s="1246"/>
      <c r="DL15" s="1246"/>
      <c r="DM15" s="1246"/>
      <c r="DN15" s="1246"/>
      <c r="DO15" s="1246"/>
      <c r="DP15" s="1246"/>
      <c r="DQ15" s="1246"/>
      <c r="DR15" s="1246"/>
      <c r="DS15" s="1246"/>
      <c r="DT15" s="1246"/>
      <c r="DV15" s="719"/>
      <c r="DW15" s="719" t="str">
        <f t="shared" si="1"/>
        <v>Добавить источник для дифференциации</v>
      </c>
      <c r="DX15" s="719"/>
      <c r="DY15" s="719"/>
      <c r="DZ15" s="454">
        <v>0</v>
      </c>
    </row>
    <row r="16" spans="1:130" s="1568" customFormat="1" ht="14.25" hidden="1" customHeight="1">
      <c r="A16" s="1300"/>
      <c r="B16" s="1300"/>
      <c r="C16" s="1300"/>
      <c r="D16" s="1300"/>
      <c r="E16" s="5416"/>
      <c r="F16" s="5415"/>
      <c r="G16" s="1300"/>
      <c r="H16" s="1300"/>
      <c r="I16" s="1300"/>
      <c r="J16" s="1300"/>
      <c r="K16" s="1300"/>
      <c r="L16" s="1300"/>
      <c r="M16" s="1303"/>
      <c r="N16" s="1305"/>
      <c r="O16" s="1305"/>
      <c r="P16" s="287"/>
      <c r="Q16" s="1242"/>
      <c r="R16" s="1243"/>
      <c r="S16" s="1242"/>
      <c r="T16" s="1242"/>
      <c r="U16" s="1248"/>
      <c r="V16" s="1249" t="s">
        <v>164</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c r="CB16" s="1250"/>
      <c r="CC16" s="1250"/>
      <c r="CD16" s="1250"/>
      <c r="CE16" s="1250"/>
      <c r="CF16" s="1250"/>
      <c r="CG16" s="1250"/>
      <c r="CH16" s="1250"/>
      <c r="CI16" s="1250"/>
      <c r="CJ16" s="1250"/>
      <c r="CK16" s="1250"/>
      <c r="CL16" s="1250"/>
      <c r="CM16" s="1250"/>
      <c r="CN16" s="1250"/>
      <c r="CO16" s="1250"/>
      <c r="CP16" s="1250"/>
      <c r="CQ16" s="1250"/>
      <c r="CR16" s="1250"/>
      <c r="CS16" s="1250"/>
      <c r="CT16" s="1250"/>
      <c r="CU16" s="1250"/>
      <c r="CV16" s="1250"/>
      <c r="CW16" s="1250"/>
      <c r="CX16" s="1250"/>
      <c r="CY16" s="1250"/>
      <c r="CZ16" s="1250"/>
      <c r="DA16" s="1250"/>
      <c r="DB16" s="1250"/>
      <c r="DC16" s="1250"/>
      <c r="DD16" s="1250"/>
      <c r="DE16" s="1250"/>
      <c r="DF16" s="1250"/>
      <c r="DG16" s="1250"/>
      <c r="DH16" s="1250"/>
      <c r="DI16" s="1250"/>
      <c r="DJ16" s="1250"/>
      <c r="DK16" s="1250"/>
      <c r="DL16" s="1250"/>
      <c r="DM16" s="1250"/>
      <c r="DN16" s="1250"/>
      <c r="DO16" s="1250"/>
      <c r="DP16" s="1250"/>
      <c r="DQ16" s="1250"/>
      <c r="DR16" s="1250"/>
      <c r="DS16" s="1250"/>
      <c r="DT16" s="1250"/>
      <c r="DV16" s="719"/>
      <c r="DW16" s="719" t="str">
        <f t="shared" si="1"/>
        <v>Добавить централизованную систему для дифференциации</v>
      </c>
      <c r="DX16" s="719"/>
      <c r="DY16" s="719"/>
      <c r="DZ16" s="454">
        <v>0</v>
      </c>
    </row>
    <row r="17" spans="1:130" s="1568" customFormat="1" ht="14.25" hidden="1" customHeight="1">
      <c r="A17" s="1300"/>
      <c r="B17" s="1300"/>
      <c r="C17" s="1300"/>
      <c r="D17" s="1300"/>
      <c r="E17" s="5415"/>
      <c r="F17" s="1300"/>
      <c r="G17" s="1300"/>
      <c r="H17" s="1300"/>
      <c r="I17" s="1300"/>
      <c r="J17" s="1300"/>
      <c r="K17" s="1300"/>
      <c r="L17" s="1300"/>
      <c r="M17" s="1303"/>
      <c r="N17" s="1305"/>
      <c r="O17" s="1305"/>
      <c r="P17" s="287"/>
      <c r="Q17" s="1242"/>
      <c r="R17" s="1243"/>
      <c r="S17" s="1242"/>
      <c r="T17" s="1242"/>
      <c r="U17" s="1248"/>
      <c r="V17" s="1251" t="s">
        <v>165</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D17" s="1250"/>
      <c r="BE17" s="1250"/>
      <c r="BF17" s="1250"/>
      <c r="BG17" s="1250"/>
      <c r="BH17" s="1250"/>
      <c r="BI17" s="1250"/>
      <c r="BJ17" s="1250"/>
      <c r="BK17" s="1250"/>
      <c r="BL17" s="1250"/>
      <c r="BM17" s="1250"/>
      <c r="BN17" s="1250"/>
      <c r="BO17" s="1250"/>
      <c r="BP17" s="1250"/>
      <c r="BQ17" s="1250"/>
      <c r="BR17" s="1250"/>
      <c r="BS17" s="1250"/>
      <c r="BT17" s="1250"/>
      <c r="BU17" s="1250"/>
      <c r="BV17" s="1250"/>
      <c r="BW17" s="1250"/>
      <c r="BX17" s="1250"/>
      <c r="BY17" s="1250"/>
      <c r="BZ17" s="1250"/>
      <c r="CA17" s="1250"/>
      <c r="CB17" s="1250"/>
      <c r="CC17" s="1250"/>
      <c r="CD17" s="1250"/>
      <c r="CE17" s="1250"/>
      <c r="CF17" s="1250"/>
      <c r="CG17" s="1250"/>
      <c r="CH17" s="1250"/>
      <c r="CI17" s="1250"/>
      <c r="CJ17" s="1250"/>
      <c r="CK17" s="1250"/>
      <c r="CL17" s="1250"/>
      <c r="CM17" s="1250"/>
      <c r="CN17" s="1250"/>
      <c r="CO17" s="1250"/>
      <c r="CP17" s="1250"/>
      <c r="CQ17" s="1250"/>
      <c r="CR17" s="1250"/>
      <c r="CS17" s="1250"/>
      <c r="CT17" s="1250"/>
      <c r="CU17" s="1250"/>
      <c r="CV17" s="1250"/>
      <c r="CW17" s="1250"/>
      <c r="CX17" s="1250"/>
      <c r="CY17" s="1250"/>
      <c r="CZ17" s="1250"/>
      <c r="DA17" s="1250"/>
      <c r="DB17" s="1250"/>
      <c r="DC17" s="1250"/>
      <c r="DD17" s="1250"/>
      <c r="DE17" s="1250"/>
      <c r="DF17" s="1250"/>
      <c r="DG17" s="1250"/>
      <c r="DH17" s="1250"/>
      <c r="DI17" s="1250"/>
      <c r="DJ17" s="1250"/>
      <c r="DK17" s="1250"/>
      <c r="DL17" s="1250"/>
      <c r="DM17" s="1250"/>
      <c r="DN17" s="1250"/>
      <c r="DO17" s="1250"/>
      <c r="DP17" s="1250"/>
      <c r="DQ17" s="1250"/>
      <c r="DR17" s="1250"/>
      <c r="DS17" s="1250"/>
      <c r="DT17" s="1250"/>
      <c r="DV17" s="719"/>
      <c r="DW17" s="719" t="str">
        <f t="shared" si="1"/>
        <v>Добавить территорию для дифференциации</v>
      </c>
      <c r="DX17" s="719"/>
      <c r="DY17" s="719"/>
      <c r="DZ17" s="454">
        <v>0</v>
      </c>
    </row>
    <row r="18" spans="1:130" ht="14.25" hidden="1" customHeight="1">
      <c r="AF18" s="264"/>
      <c r="AO18" s="264"/>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Q18" s="1561"/>
      <c r="BR18" s="1561"/>
      <c r="BS18" s="1561"/>
      <c r="BT18" s="1561"/>
      <c r="BU18" s="1561"/>
      <c r="BV18" s="1561"/>
      <c r="BW18" s="1561"/>
      <c r="BX18" s="1561"/>
      <c r="BY18" s="1561"/>
      <c r="BZ18" s="1561"/>
      <c r="CA18" s="1561"/>
      <c r="CB18" s="1561"/>
      <c r="CC18" s="1561"/>
      <c r="CD18" s="1561"/>
      <c r="CE18" s="1561"/>
      <c r="CF18" s="1561"/>
      <c r="CG18" s="1561"/>
      <c r="CH18" s="1561"/>
      <c r="CI18" s="1561"/>
      <c r="CJ18" s="1561"/>
      <c r="CK18" s="1561"/>
      <c r="CL18" s="1561"/>
      <c r="CM18" s="1561"/>
      <c r="CN18" s="1561"/>
      <c r="CO18" s="1561"/>
      <c r="CP18" s="1561"/>
      <c r="CQ18" s="1561"/>
      <c r="CR18" s="1561"/>
      <c r="CS18" s="1561"/>
      <c r="CT18" s="1561"/>
      <c r="CU18" s="1561"/>
      <c r="CV18" s="1561"/>
      <c r="CW18" s="1561"/>
      <c r="CX18" s="1561"/>
      <c r="CY18" s="1561"/>
      <c r="CZ18" s="1561"/>
      <c r="DA18" s="1561"/>
      <c r="DB18" s="1561"/>
      <c r="DC18" s="1561"/>
      <c r="DD18" s="1561"/>
      <c r="DE18" s="1561"/>
      <c r="DF18" s="1561"/>
      <c r="DG18" s="1561"/>
      <c r="DH18" s="1561"/>
      <c r="DI18" s="1561"/>
      <c r="DJ18" s="1561"/>
      <c r="DK18" s="1561"/>
      <c r="DL18" s="1561"/>
      <c r="DM18" s="1561"/>
      <c r="DN18" s="1561"/>
      <c r="DO18" s="1561"/>
      <c r="DP18" s="1561"/>
      <c r="DQ18" s="1561"/>
      <c r="DR18" s="5155"/>
      <c r="DZ18" s="1081">
        <v>0</v>
      </c>
    </row>
    <row r="19" spans="1:130" ht="14.25" hidden="1" customHeight="1">
      <c r="AG19" s="1286"/>
      <c r="AH19" s="1286"/>
      <c r="AI19" s="1286"/>
      <c r="AJ19" s="1286"/>
      <c r="AK19" s="1287"/>
      <c r="AL19" s="5378"/>
      <c r="AM19" s="5377" t="s">
        <v>65</v>
      </c>
      <c r="AN19" s="5378"/>
      <c r="AO19" s="5377" t="s">
        <v>65</v>
      </c>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Q19" s="1561"/>
      <c r="BR19" s="1561"/>
      <c r="BS19" s="1561"/>
      <c r="BT19" s="1561"/>
      <c r="BU19" s="1561"/>
      <c r="BV19" s="1561"/>
      <c r="BW19" s="1561"/>
      <c r="BX19" s="1561"/>
      <c r="BY19" s="1561"/>
      <c r="BZ19" s="1561"/>
      <c r="CA19" s="1561"/>
      <c r="CB19" s="1561"/>
      <c r="CC19" s="1561"/>
      <c r="CD19" s="1561"/>
      <c r="CE19" s="1561"/>
      <c r="CF19" s="1561"/>
      <c r="CG19" s="1561"/>
      <c r="CH19" s="1561"/>
      <c r="CI19" s="1561"/>
      <c r="CJ19" s="1561"/>
      <c r="CK19" s="1561"/>
      <c r="CL19" s="1561"/>
      <c r="CM19" s="1561"/>
      <c r="CN19" s="1561"/>
      <c r="CO19" s="1561"/>
      <c r="CP19" s="1561"/>
      <c r="CQ19" s="1561"/>
      <c r="CR19" s="1561"/>
      <c r="CS19" s="1561"/>
      <c r="CT19" s="1561"/>
      <c r="CU19" s="1561"/>
      <c r="CV19" s="1561"/>
      <c r="CW19" s="1561"/>
      <c r="CX19" s="1561"/>
      <c r="CY19" s="1561"/>
      <c r="CZ19" s="1561"/>
      <c r="DA19" s="1561"/>
      <c r="DB19" s="1561"/>
      <c r="DC19" s="1561"/>
      <c r="DD19" s="1561"/>
      <c r="DE19" s="1561"/>
      <c r="DF19" s="1561"/>
      <c r="DG19" s="1561"/>
      <c r="DH19" s="1561"/>
      <c r="DI19" s="1561"/>
      <c r="DJ19" s="1561"/>
      <c r="DK19" s="1561"/>
      <c r="DL19" s="1561"/>
      <c r="DM19" s="1561"/>
      <c r="DN19" s="1561"/>
      <c r="DO19" s="1561"/>
      <c r="DP19" s="1561"/>
      <c r="DQ19" s="1561"/>
      <c r="DR19" s="5155"/>
      <c r="DZ19" s="1081">
        <v>0</v>
      </c>
    </row>
    <row r="20" spans="1:130" ht="14.25" hidden="1" customHeight="1">
      <c r="AG20" s="1286"/>
      <c r="AH20" s="1286"/>
      <c r="AI20" s="1286"/>
      <c r="AJ20" s="1286"/>
      <c r="AK20" s="1287"/>
      <c r="AL20" s="5378"/>
      <c r="AM20" s="5377"/>
      <c r="AN20" s="5378"/>
      <c r="AO20" s="5377"/>
      <c r="AP20" s="1561"/>
      <c r="AQ20" s="1561"/>
      <c r="AR20" s="1561"/>
      <c r="AS20" s="1561"/>
      <c r="AT20" s="1561"/>
      <c r="AU20" s="1561"/>
      <c r="AV20" s="1561"/>
      <c r="AW20" s="1561"/>
      <c r="AX20" s="1561"/>
      <c r="AY20" s="1561"/>
      <c r="AZ20" s="1561"/>
      <c r="BA20" s="1561"/>
      <c r="BB20" s="1561"/>
      <c r="BC20" s="1561"/>
      <c r="BD20" s="1561"/>
      <c r="BE20" s="1561"/>
      <c r="BF20" s="1561"/>
      <c r="BG20" s="1561"/>
      <c r="BH20" s="1561"/>
      <c r="BI20" s="1561"/>
      <c r="BJ20" s="1561"/>
      <c r="BK20" s="1561"/>
      <c r="BL20" s="1561"/>
      <c r="BM20" s="1561"/>
      <c r="BN20" s="1561"/>
      <c r="BO20" s="1561"/>
      <c r="BP20" s="1561"/>
      <c r="BQ20" s="1561"/>
      <c r="BR20" s="1561"/>
      <c r="BS20" s="1561"/>
      <c r="BT20" s="1561"/>
      <c r="BU20" s="1561"/>
      <c r="BV20" s="1561"/>
      <c r="BW20" s="1561"/>
      <c r="BX20" s="1561"/>
      <c r="BY20" s="1561"/>
      <c r="BZ20" s="1561"/>
      <c r="CA20" s="1561"/>
      <c r="CB20" s="1561"/>
      <c r="CC20" s="1561"/>
      <c r="CD20" s="1561"/>
      <c r="CE20" s="1561"/>
      <c r="CF20" s="1561"/>
      <c r="CG20" s="1561"/>
      <c r="CH20" s="1561"/>
      <c r="CI20" s="1561"/>
      <c r="CJ20" s="1561"/>
      <c r="CK20" s="1561"/>
      <c r="CL20" s="1561"/>
      <c r="CM20" s="1561"/>
      <c r="CN20" s="1561"/>
      <c r="CO20" s="1561"/>
      <c r="CP20" s="1561"/>
      <c r="CQ20" s="1561"/>
      <c r="CR20" s="1561"/>
      <c r="CS20" s="1561"/>
      <c r="CT20" s="1561"/>
      <c r="CU20" s="1561"/>
      <c r="CV20" s="1561"/>
      <c r="CW20" s="1561"/>
      <c r="CX20" s="1561"/>
      <c r="CY20" s="1561"/>
      <c r="CZ20" s="1561"/>
      <c r="DA20" s="1561"/>
      <c r="DB20" s="1561"/>
      <c r="DC20" s="1561"/>
      <c r="DD20" s="1561"/>
      <c r="DE20" s="1561"/>
      <c r="DF20" s="1561"/>
      <c r="DG20" s="1561"/>
      <c r="DH20" s="1561"/>
      <c r="DI20" s="1561"/>
      <c r="DJ20" s="1561"/>
      <c r="DK20" s="1561"/>
      <c r="DL20" s="1561"/>
      <c r="DM20" s="1561"/>
      <c r="DN20" s="1561"/>
      <c r="DO20" s="1561"/>
      <c r="DP20" s="1561"/>
      <c r="DQ20" s="1561"/>
      <c r="DR20" s="5155"/>
      <c r="DZ20" s="1081">
        <v>0</v>
      </c>
    </row>
    <row r="21" spans="1:130" ht="14.25" hidden="1" customHeight="1">
      <c r="AG21" s="1286"/>
      <c r="AH21" s="1286"/>
      <c r="AI21" s="1286"/>
      <c r="AJ21" s="1286"/>
      <c r="AK21" s="1287"/>
      <c r="AL21" s="5378"/>
      <c r="AM21" s="5377"/>
      <c r="AN21" s="5378"/>
      <c r="AO21" s="5377"/>
      <c r="AP21" s="1561"/>
      <c r="AQ21" s="1561"/>
      <c r="AR21" s="1561"/>
      <c r="AS21" s="1561"/>
      <c r="AT21" s="1561"/>
      <c r="AU21" s="1561"/>
      <c r="AV21" s="1561"/>
      <c r="AW21" s="1561"/>
      <c r="AX21" s="1561"/>
      <c r="AY21" s="1561"/>
      <c r="AZ21" s="1561"/>
      <c r="BA21" s="1561"/>
      <c r="BB21" s="1561"/>
      <c r="BC21" s="1561"/>
      <c r="BD21" s="1561"/>
      <c r="BE21" s="1561"/>
      <c r="BF21" s="1561"/>
      <c r="BG21" s="1561"/>
      <c r="BH21" s="1561"/>
      <c r="BI21" s="1561"/>
      <c r="BJ21" s="1561"/>
      <c r="BK21" s="1561"/>
      <c r="BL21" s="1561"/>
      <c r="BM21" s="1561"/>
      <c r="BN21" s="1561"/>
      <c r="BO21" s="1561"/>
      <c r="BP21" s="1561"/>
      <c r="BQ21" s="1561"/>
      <c r="BR21" s="1561"/>
      <c r="BS21" s="1561"/>
      <c r="BT21" s="1561"/>
      <c r="BU21" s="1561"/>
      <c r="BV21" s="1561"/>
      <c r="BW21" s="1561"/>
      <c r="BX21" s="1561"/>
      <c r="BY21" s="1561"/>
      <c r="BZ21" s="1561"/>
      <c r="CA21" s="1561"/>
      <c r="CB21" s="1561"/>
      <c r="CC21" s="1561"/>
      <c r="CD21" s="1561"/>
      <c r="CE21" s="1561"/>
      <c r="CF21" s="1561"/>
      <c r="CG21" s="1561"/>
      <c r="CH21" s="1561"/>
      <c r="CI21" s="1561"/>
      <c r="CJ21" s="1561"/>
      <c r="CK21" s="1561"/>
      <c r="CL21" s="1561"/>
      <c r="CM21" s="1561"/>
      <c r="CN21" s="1561"/>
      <c r="CO21" s="1561"/>
      <c r="CP21" s="1561"/>
      <c r="CQ21" s="1561"/>
      <c r="CR21" s="1561"/>
      <c r="CS21" s="1561"/>
      <c r="CT21" s="1561"/>
      <c r="CU21" s="1561"/>
      <c r="CV21" s="1561"/>
      <c r="CW21" s="1561"/>
      <c r="CX21" s="1561"/>
      <c r="CY21" s="1561"/>
      <c r="CZ21" s="1561"/>
      <c r="DA21" s="1561"/>
      <c r="DB21" s="1561"/>
      <c r="DC21" s="1561"/>
      <c r="DD21" s="1561"/>
      <c r="DE21" s="1561"/>
      <c r="DF21" s="1561"/>
      <c r="DG21" s="1561"/>
      <c r="DH21" s="1561"/>
      <c r="DI21" s="1561"/>
      <c r="DJ21" s="1561"/>
      <c r="DK21" s="1561"/>
      <c r="DL21" s="1561"/>
      <c r="DM21" s="1561"/>
      <c r="DN21" s="1561"/>
      <c r="DO21" s="1561"/>
      <c r="DP21" s="1561"/>
      <c r="DQ21" s="1561"/>
      <c r="DR21" s="5155"/>
      <c r="DZ21" s="1081">
        <v>0</v>
      </c>
    </row>
    <row r="22" spans="1:130" ht="14.25" hidden="1" customHeight="1">
      <c r="AG22" s="1286"/>
      <c r="AH22" s="1286"/>
      <c r="AI22" s="1286"/>
      <c r="AJ22" s="1286"/>
      <c r="AK22" s="265" t="str">
        <f>AL19&amp;"-"&amp;AN19</f>
        <v>-</v>
      </c>
      <c r="AL22" s="5377"/>
      <c r="AM22" s="5377"/>
      <c r="AN22" s="5377"/>
      <c r="AO22" s="5377"/>
      <c r="AP22" s="1561"/>
      <c r="AQ22" s="1561"/>
      <c r="AR22" s="1561"/>
      <c r="AS22" s="1561"/>
      <c r="AT22" s="1561"/>
      <c r="AU22" s="1561"/>
      <c r="AV22" s="1561"/>
      <c r="AW22" s="1561"/>
      <c r="AX22" s="1561"/>
      <c r="AY22" s="1561"/>
      <c r="AZ22" s="1561"/>
      <c r="BA22" s="1561"/>
      <c r="BB22" s="1561"/>
      <c r="BC22" s="1561"/>
      <c r="BD22" s="1561"/>
      <c r="BE22" s="1561"/>
      <c r="BF22" s="1561"/>
      <c r="BG22" s="1561"/>
      <c r="BH22" s="1561"/>
      <c r="BI22" s="1561"/>
      <c r="BJ22" s="1561"/>
      <c r="BK22" s="1561"/>
      <c r="BL22" s="1561"/>
      <c r="BM22" s="1561"/>
      <c r="BN22" s="1561"/>
      <c r="BO22" s="1561"/>
      <c r="BP22" s="1561"/>
      <c r="BQ22" s="1561"/>
      <c r="BR22" s="1561"/>
      <c r="BS22" s="1561"/>
      <c r="BT22" s="1561"/>
      <c r="BU22" s="1561"/>
      <c r="BV22" s="1561"/>
      <c r="BW22" s="1561"/>
      <c r="BX22" s="1561"/>
      <c r="BY22" s="1561"/>
      <c r="BZ22" s="1561"/>
      <c r="CA22" s="1561"/>
      <c r="CB22" s="1561"/>
      <c r="CC22" s="1561"/>
      <c r="CD22" s="1561"/>
      <c r="CE22" s="1561"/>
      <c r="CF22" s="1561"/>
      <c r="CG22" s="1561"/>
      <c r="CH22" s="1561"/>
      <c r="CI22" s="1561"/>
      <c r="CJ22" s="1561"/>
      <c r="CK22" s="1561"/>
      <c r="CL22" s="1561"/>
      <c r="CM22" s="1561"/>
      <c r="CN22" s="1561"/>
      <c r="CO22" s="1561"/>
      <c r="CP22" s="1561"/>
      <c r="CQ22" s="1561"/>
      <c r="CR22" s="1561"/>
      <c r="CS22" s="1561"/>
      <c r="CT22" s="1561"/>
      <c r="CU22" s="1561"/>
      <c r="CV22" s="1561"/>
      <c r="CW22" s="1561"/>
      <c r="CX22" s="1561"/>
      <c r="CY22" s="1561"/>
      <c r="CZ22" s="1561"/>
      <c r="DA22" s="1561"/>
      <c r="DB22" s="1561"/>
      <c r="DC22" s="1561"/>
      <c r="DD22" s="1561"/>
      <c r="DE22" s="1561"/>
      <c r="DF22" s="1561"/>
      <c r="DG22" s="1561"/>
      <c r="DH22" s="1561"/>
      <c r="DI22" s="1561"/>
      <c r="DJ22" s="1561"/>
      <c r="DK22" s="1561"/>
      <c r="DL22" s="1561"/>
      <c r="DM22" s="1561"/>
      <c r="DN22" s="1561"/>
      <c r="DO22" s="1561"/>
      <c r="DP22" s="1561"/>
      <c r="DQ22" s="1561"/>
      <c r="DR22" s="5155"/>
      <c r="DZ22" s="1081">
        <v>0</v>
      </c>
    </row>
    <row r="23" spans="1:130" ht="14.25" hidden="1" customHeight="1">
      <c r="AO23" s="264"/>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BZ23" s="1561"/>
      <c r="CA23" s="1561"/>
      <c r="CB23" s="1561"/>
      <c r="CC23" s="1561"/>
      <c r="CD23" s="1561"/>
      <c r="CE23" s="1561"/>
      <c r="CF23" s="1561"/>
      <c r="CG23" s="1561"/>
      <c r="CH23" s="1561"/>
      <c r="CI23" s="1561"/>
      <c r="CJ23" s="1561"/>
      <c r="CK23" s="1561"/>
      <c r="CL23" s="1561"/>
      <c r="CM23" s="1561"/>
      <c r="CN23" s="1561"/>
      <c r="CO23" s="1561"/>
      <c r="CP23" s="1561"/>
      <c r="CQ23" s="1561"/>
      <c r="CR23" s="1561"/>
      <c r="CS23" s="1561"/>
      <c r="CT23" s="1561"/>
      <c r="CU23" s="1561"/>
      <c r="CV23" s="1561"/>
      <c r="CW23" s="1561"/>
      <c r="CX23" s="1561"/>
      <c r="CY23" s="1561"/>
      <c r="CZ23" s="1561"/>
      <c r="DA23" s="1561"/>
      <c r="DB23" s="1561"/>
      <c r="DC23" s="1561"/>
      <c r="DD23" s="1561"/>
      <c r="DE23" s="1561"/>
      <c r="DF23" s="1561"/>
      <c r="DG23" s="1561"/>
      <c r="DH23" s="1561"/>
      <c r="DI23" s="1561"/>
      <c r="DJ23" s="1561"/>
      <c r="DK23" s="1561"/>
      <c r="DL23" s="1561"/>
      <c r="DM23" s="1561"/>
      <c r="DN23" s="1561"/>
      <c r="DO23" s="1561"/>
      <c r="DP23" s="1561"/>
      <c r="DQ23" s="1561"/>
      <c r="DR23" s="5155"/>
      <c r="DZ23" s="1081">
        <v>0</v>
      </c>
    </row>
    <row r="24" spans="1:130" s="1292" customFormat="1" ht="22.5" hidden="1" customHeight="1">
      <c r="A24" s="1081"/>
      <c r="B24" s="1081"/>
      <c r="C24" s="1081"/>
      <c r="D24" s="1081"/>
      <c r="E24" s="1081"/>
      <c r="F24" s="1081"/>
      <c r="G24" s="1081"/>
      <c r="H24" s="1081"/>
      <c r="I24" s="1081"/>
      <c r="J24" s="1081"/>
      <c r="K24" s="1081"/>
      <c r="L24" s="1081"/>
      <c r="M24" s="1253"/>
      <c r="N24" s="1254"/>
      <c r="O24" s="1254"/>
      <c r="P24" s="1271" t="s">
        <v>441</v>
      </c>
      <c r="Q24" s="1288"/>
      <c r="R24" s="1297"/>
      <c r="S24" s="1297"/>
      <c r="T24" s="1297"/>
      <c r="U24" s="665"/>
      <c r="AC24" s="1293"/>
      <c r="AE24" s="1293"/>
      <c r="AL24" s="1293"/>
      <c r="AN24" s="1293"/>
      <c r="AU24" s="1293"/>
      <c r="AW24" s="1293"/>
      <c r="BD24" s="1293"/>
      <c r="BF24" s="1293"/>
      <c r="BM24" s="1293"/>
      <c r="BO24" s="1293"/>
      <c r="BV24" s="1293"/>
      <c r="BX24" s="1293"/>
      <c r="CE24" s="1293"/>
      <c r="CG24" s="1293"/>
      <c r="CN24" s="1293"/>
      <c r="CP24" s="1293"/>
      <c r="CW24" s="1293"/>
      <c r="CY24" s="1293"/>
      <c r="DF24" s="1293"/>
      <c r="DH24" s="1293"/>
      <c r="DO24" s="1293"/>
      <c r="DQ24" s="1293"/>
      <c r="DR24" s="5161"/>
      <c r="DU24" s="447"/>
      <c r="DV24" s="447"/>
      <c r="DW24" s="447"/>
      <c r="DX24" s="447"/>
      <c r="DY24" s="447"/>
      <c r="DZ24" s="1086">
        <v>0</v>
      </c>
    </row>
    <row r="25" spans="1:130"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DR25" s="5161"/>
      <c r="DU25" s="447"/>
      <c r="DV25" s="447"/>
      <c r="DW25" s="447"/>
      <c r="DX25" s="447"/>
      <c r="DY25" s="447"/>
      <c r="DZ25" s="1086">
        <v>0</v>
      </c>
    </row>
    <row r="26" spans="1:130" s="1292" customFormat="1" ht="14.25" hidden="1" customHeight="1">
      <c r="A26" s="1081"/>
      <c r="B26" s="1081"/>
      <c r="C26" s="1081"/>
      <c r="D26" s="1081"/>
      <c r="E26" s="1081"/>
      <c r="F26" s="1081"/>
      <c r="G26" s="1081"/>
      <c r="H26" s="1081"/>
      <c r="I26" s="1081"/>
      <c r="J26" s="1081"/>
      <c r="K26" s="1081"/>
      <c r="L26" s="1081"/>
      <c r="M26" s="1253"/>
      <c r="N26" s="1254"/>
      <c r="O26" s="1254"/>
      <c r="P26" s="1236" t="s">
        <v>442</v>
      </c>
      <c r="Q26" s="1288"/>
      <c r="R26" s="1297"/>
      <c r="S26" s="1297"/>
      <c r="T26" s="1297"/>
      <c r="U26" s="665"/>
      <c r="V26" s="1086" t="s">
        <v>443</v>
      </c>
      <c r="AD26" s="124" t="s">
        <v>444</v>
      </c>
      <c r="AF26" s="124" t="s">
        <v>445</v>
      </c>
      <c r="AG26" s="1086" t="s">
        <v>443</v>
      </c>
      <c r="AM26" s="124" t="s">
        <v>446</v>
      </c>
      <c r="AO26" s="124" t="s">
        <v>445</v>
      </c>
      <c r="AV26" s="1296" t="s">
        <v>444</v>
      </c>
      <c r="AX26" s="1296" t="s">
        <v>445</v>
      </c>
      <c r="BE26" s="1296" t="s">
        <v>444</v>
      </c>
      <c r="BG26" s="1296" t="s">
        <v>445</v>
      </c>
      <c r="BN26" s="1296" t="s">
        <v>444</v>
      </c>
      <c r="BP26" s="1296" t="s">
        <v>445</v>
      </c>
      <c r="BW26" s="1296" t="s">
        <v>444</v>
      </c>
      <c r="BY26" s="1296" t="s">
        <v>445</v>
      </c>
      <c r="CF26" s="1296" t="s">
        <v>444</v>
      </c>
      <c r="CH26" s="1296" t="s">
        <v>445</v>
      </c>
      <c r="CO26" s="1296" t="s">
        <v>444</v>
      </c>
      <c r="CQ26" s="1296" t="s">
        <v>445</v>
      </c>
      <c r="CX26" s="1296" t="s">
        <v>444</v>
      </c>
      <c r="CZ26" s="1296" t="s">
        <v>445</v>
      </c>
      <c r="DG26" s="1296" t="s">
        <v>444</v>
      </c>
      <c r="DI26" s="1296" t="s">
        <v>445</v>
      </c>
      <c r="DP26" s="1296" t="s">
        <v>444</v>
      </c>
      <c r="DR26" s="5162" t="s">
        <v>445</v>
      </c>
      <c r="DU26" s="447"/>
      <c r="DV26" s="447"/>
      <c r="DW26" s="447"/>
      <c r="DX26" s="447"/>
      <c r="DY26" s="447"/>
      <c r="DZ26" s="1086">
        <v>0</v>
      </c>
    </row>
    <row r="27" spans="1:130" ht="14.25" hidden="1" customHeight="1">
      <c r="P27" s="1236"/>
      <c r="AP27" s="1561"/>
      <c r="AQ27" s="1561"/>
      <c r="AR27" s="1561"/>
      <c r="AS27" s="1561"/>
      <c r="AT27" s="1561"/>
      <c r="AU27" s="1561"/>
      <c r="AV27" s="1561"/>
      <c r="AW27" s="1561"/>
      <c r="AX27" s="1561"/>
      <c r="AY27" s="1561"/>
      <c r="AZ27" s="1561"/>
      <c r="BA27" s="1561"/>
      <c r="BB27" s="1561"/>
      <c r="BC27" s="1561"/>
      <c r="BD27" s="1561"/>
      <c r="BE27" s="1561"/>
      <c r="BF27" s="1561"/>
      <c r="BG27" s="1561"/>
      <c r="BH27" s="1561"/>
      <c r="BI27" s="1561"/>
      <c r="BJ27" s="1561"/>
      <c r="BK27" s="1561"/>
      <c r="BL27" s="1561"/>
      <c r="BM27" s="1561"/>
      <c r="BN27" s="1561"/>
      <c r="BO27" s="1561"/>
      <c r="BP27" s="1561"/>
      <c r="BQ27" s="1561"/>
      <c r="BR27" s="1561"/>
      <c r="BS27" s="1561"/>
      <c r="BT27" s="1561"/>
      <c r="BU27" s="1561"/>
      <c r="BV27" s="1561"/>
      <c r="BW27" s="1561"/>
      <c r="BX27" s="1561"/>
      <c r="BY27" s="1561"/>
      <c r="BZ27" s="1561"/>
      <c r="CA27" s="1561"/>
      <c r="CB27" s="1561"/>
      <c r="CC27" s="1561"/>
      <c r="CD27" s="1561"/>
      <c r="CE27" s="1561"/>
      <c r="CF27" s="1561"/>
      <c r="CG27" s="1561"/>
      <c r="CH27" s="1561"/>
      <c r="CI27" s="1561"/>
      <c r="CJ27" s="1561"/>
      <c r="CK27" s="1561"/>
      <c r="CL27" s="1561"/>
      <c r="CM27" s="1561"/>
      <c r="CN27" s="1561"/>
      <c r="CO27" s="1561"/>
      <c r="CP27" s="1561"/>
      <c r="CQ27" s="1561"/>
      <c r="CR27" s="1561"/>
      <c r="CS27" s="1561"/>
      <c r="CT27" s="1561"/>
      <c r="CU27" s="1561"/>
      <c r="CV27" s="1561"/>
      <c r="CW27" s="1561"/>
      <c r="CX27" s="1561"/>
      <c r="CY27" s="1561"/>
      <c r="CZ27" s="1561"/>
      <c r="DA27" s="1561"/>
      <c r="DB27" s="1561"/>
      <c r="DC27" s="1561"/>
      <c r="DD27" s="1561"/>
      <c r="DE27" s="1561"/>
      <c r="DF27" s="1561"/>
      <c r="DG27" s="1561"/>
      <c r="DH27" s="1561"/>
      <c r="DI27" s="1561"/>
      <c r="DJ27" s="1561"/>
      <c r="DK27" s="1561"/>
      <c r="DL27" s="1561"/>
      <c r="DM27" s="1561"/>
      <c r="DN27" s="1561"/>
      <c r="DO27" s="1561"/>
      <c r="DP27" s="1561"/>
      <c r="DQ27" s="1561"/>
      <c r="DR27" s="5155"/>
      <c r="DZ27" s="1081">
        <v>0</v>
      </c>
    </row>
    <row r="28" spans="1:130" ht="14.25" hidden="1" customHeight="1">
      <c r="P28" s="1236"/>
      <c r="AP28" s="1561"/>
      <c r="AQ28" s="1561"/>
      <c r="AR28" s="1561"/>
      <c r="AS28" s="1561"/>
      <c r="AT28" s="1561"/>
      <c r="AU28" s="1561"/>
      <c r="AV28" s="1561"/>
      <c r="AW28" s="1561"/>
      <c r="AX28" s="1561"/>
      <c r="AY28" s="1561"/>
      <c r="AZ28" s="1561"/>
      <c r="BA28" s="1561"/>
      <c r="BB28" s="1561"/>
      <c r="BC28" s="1561"/>
      <c r="BD28" s="1561"/>
      <c r="BE28" s="1561"/>
      <c r="BF28" s="1561"/>
      <c r="BG28" s="1561"/>
      <c r="BH28" s="1561"/>
      <c r="BI28" s="1561"/>
      <c r="BJ28" s="1561"/>
      <c r="BK28" s="1561"/>
      <c r="BL28" s="1561"/>
      <c r="BM28" s="1561"/>
      <c r="BN28" s="1561"/>
      <c r="BO28" s="1561"/>
      <c r="BP28" s="1561"/>
      <c r="BQ28" s="1561"/>
      <c r="BR28" s="1561"/>
      <c r="BS28" s="1561"/>
      <c r="BT28" s="1561"/>
      <c r="BU28" s="1561"/>
      <c r="BV28" s="1561"/>
      <c r="BW28" s="1561"/>
      <c r="BX28" s="1561"/>
      <c r="BY28" s="1561"/>
      <c r="BZ28" s="1561"/>
      <c r="CA28" s="1561"/>
      <c r="CB28" s="1561"/>
      <c r="CC28" s="1561"/>
      <c r="CD28" s="1561"/>
      <c r="CE28" s="1561"/>
      <c r="CF28" s="1561"/>
      <c r="CG28" s="1561"/>
      <c r="CH28" s="1561"/>
      <c r="CI28" s="1561"/>
      <c r="CJ28" s="1561"/>
      <c r="CK28" s="1561"/>
      <c r="CL28" s="1561"/>
      <c r="CM28" s="1561"/>
      <c r="CN28" s="1561"/>
      <c r="CO28" s="1561"/>
      <c r="CP28" s="1561"/>
      <c r="CQ28" s="1561"/>
      <c r="CR28" s="1561"/>
      <c r="CS28" s="1561"/>
      <c r="CT28" s="1561"/>
      <c r="CU28" s="1561"/>
      <c r="CV28" s="1561"/>
      <c r="CW28" s="1561"/>
      <c r="CX28" s="1561"/>
      <c r="CY28" s="1561"/>
      <c r="CZ28" s="1561"/>
      <c r="DA28" s="1561"/>
      <c r="DB28" s="1561"/>
      <c r="DC28" s="1561"/>
      <c r="DD28" s="1561"/>
      <c r="DE28" s="1561"/>
      <c r="DF28" s="1561"/>
      <c r="DG28" s="1561"/>
      <c r="DH28" s="1561"/>
      <c r="DI28" s="1561"/>
      <c r="DJ28" s="1561"/>
      <c r="DK28" s="1561"/>
      <c r="DL28" s="1561"/>
      <c r="DM28" s="1561"/>
      <c r="DN28" s="1561"/>
      <c r="DO28" s="1561"/>
      <c r="DP28" s="1561"/>
      <c r="DQ28" s="1561"/>
      <c r="DR28" s="5155"/>
      <c r="DZ28" s="1081">
        <v>0</v>
      </c>
    </row>
    <row r="29" spans="1:130"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P29" s="1561"/>
      <c r="AQ29" s="1561"/>
      <c r="AR29" s="1561"/>
      <c r="AS29" s="1561"/>
      <c r="AT29" s="1561"/>
      <c r="AU29" s="1561"/>
      <c r="AV29" s="1561"/>
      <c r="AW29" s="1561"/>
      <c r="AX29" s="1561"/>
      <c r="AY29" s="1561"/>
      <c r="AZ29" s="1561"/>
      <c r="BA29" s="1561"/>
      <c r="BB29" s="1561"/>
      <c r="BC29" s="1561"/>
      <c r="BD29" s="1561"/>
      <c r="BE29" s="1561"/>
      <c r="BF29" s="1561"/>
      <c r="BG29" s="1561"/>
      <c r="BH29" s="1561"/>
      <c r="BI29" s="1561"/>
      <c r="BJ29" s="1561"/>
      <c r="BK29" s="1561"/>
      <c r="BL29" s="1561"/>
      <c r="BM29" s="1561"/>
      <c r="BN29" s="1561"/>
      <c r="BO29" s="1561"/>
      <c r="BP29" s="1561"/>
      <c r="BQ29" s="1561"/>
      <c r="BR29" s="1561"/>
      <c r="BS29" s="1561"/>
      <c r="BT29" s="1561"/>
      <c r="BU29" s="1561"/>
      <c r="BV29" s="1561"/>
      <c r="BW29" s="1561"/>
      <c r="BX29" s="1561"/>
      <c r="BY29" s="1561"/>
      <c r="BZ29" s="1561"/>
      <c r="CA29" s="1561"/>
      <c r="CB29" s="1561"/>
      <c r="CC29" s="1561"/>
      <c r="CD29" s="1561"/>
      <c r="CE29" s="1561"/>
      <c r="CF29" s="1561"/>
      <c r="CG29" s="1561"/>
      <c r="CH29" s="1561"/>
      <c r="CI29" s="1561"/>
      <c r="CJ29" s="1561"/>
      <c r="CK29" s="1561"/>
      <c r="CL29" s="1561"/>
      <c r="CM29" s="1561"/>
      <c r="CN29" s="1561"/>
      <c r="CO29" s="1561"/>
      <c r="CP29" s="1561"/>
      <c r="CQ29" s="1561"/>
      <c r="CR29" s="1561"/>
      <c r="CS29" s="1561"/>
      <c r="CT29" s="1561"/>
      <c r="CU29" s="1561"/>
      <c r="CV29" s="1561"/>
      <c r="CW29" s="1561"/>
      <c r="CX29" s="1561"/>
      <c r="CY29" s="1561"/>
      <c r="CZ29" s="1561"/>
      <c r="DA29" s="1561"/>
      <c r="DB29" s="1561"/>
      <c r="DC29" s="1561"/>
      <c r="DD29" s="1561"/>
      <c r="DE29" s="1561"/>
      <c r="DF29" s="1561"/>
      <c r="DG29" s="1561"/>
      <c r="DH29" s="1561"/>
      <c r="DI29" s="1561"/>
      <c r="DJ29" s="1561"/>
      <c r="DK29" s="1561"/>
      <c r="DL29" s="1561"/>
      <c r="DM29" s="1561"/>
      <c r="DN29" s="1561"/>
      <c r="DO29" s="1561"/>
      <c r="DP29" s="1561"/>
      <c r="DQ29" s="1561"/>
      <c r="DR29" s="5155"/>
      <c r="DZ29" s="1081">
        <v>14</v>
      </c>
    </row>
    <row r="30" spans="1:130" ht="56.65" customHeight="1">
      <c r="R30" s="312"/>
      <c r="S30" s="312"/>
      <c r="T30" s="312"/>
      <c r="U30" s="5359"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5359"/>
      <c r="W30" s="5359"/>
      <c r="X30" s="5359"/>
      <c r="Y30" s="5359"/>
      <c r="Z30" s="5359"/>
      <c r="AA30" s="5359"/>
      <c r="AB30" s="5359"/>
      <c r="AC30" s="5359"/>
      <c r="AD30" s="5359"/>
      <c r="AE30" s="5359"/>
      <c r="AF30" s="5359"/>
      <c r="AG30" s="5359"/>
      <c r="AH30" s="5359"/>
      <c r="AI30" s="5359"/>
      <c r="AJ30" s="5359"/>
      <c r="AK30" s="5359"/>
      <c r="AL30" s="5359"/>
      <c r="AM30" s="5359"/>
      <c r="AN30" s="5359"/>
      <c r="AO30" s="1169"/>
      <c r="AP30" s="2008"/>
      <c r="AQ30" s="2008"/>
      <c r="AR30" s="2008"/>
      <c r="AS30" s="2008"/>
      <c r="AT30" s="2008"/>
      <c r="AU30" s="2008"/>
      <c r="AV30" s="2008"/>
      <c r="AW30" s="2008"/>
      <c r="AX30" s="2008"/>
      <c r="AY30" s="2008"/>
      <c r="AZ30" s="2008"/>
      <c r="BA30" s="2008"/>
      <c r="BB30" s="2008"/>
      <c r="BC30" s="2008"/>
      <c r="BD30" s="2008"/>
      <c r="BE30" s="2008"/>
      <c r="BF30" s="2008"/>
      <c r="BG30" s="2008"/>
      <c r="BH30" s="2008"/>
      <c r="BI30" s="2008"/>
      <c r="BJ30" s="2008"/>
      <c r="BK30" s="2008"/>
      <c r="BL30" s="2008"/>
      <c r="BM30" s="2008"/>
      <c r="BN30" s="2008"/>
      <c r="BO30" s="2008"/>
      <c r="BP30" s="2008"/>
      <c r="BQ30" s="2008"/>
      <c r="BR30" s="2008"/>
      <c r="BS30" s="2008"/>
      <c r="BT30" s="2008"/>
      <c r="BU30" s="2008"/>
      <c r="BV30" s="2008"/>
      <c r="BW30" s="2008"/>
      <c r="BX30" s="2008"/>
      <c r="BY30" s="2008"/>
      <c r="BZ30" s="2008"/>
      <c r="CA30" s="2008"/>
      <c r="CB30" s="2008"/>
      <c r="CC30" s="2008"/>
      <c r="CD30" s="2008"/>
      <c r="CE30" s="2008"/>
      <c r="CF30" s="2008"/>
      <c r="CG30" s="2008"/>
      <c r="CH30" s="2008"/>
      <c r="CI30" s="2008"/>
      <c r="CJ30" s="2008"/>
      <c r="CK30" s="2008"/>
      <c r="CL30" s="2008"/>
      <c r="CM30" s="2008"/>
      <c r="CN30" s="2008"/>
      <c r="CO30" s="2008"/>
      <c r="CP30" s="2008"/>
      <c r="CQ30" s="2008"/>
      <c r="CR30" s="2008"/>
      <c r="CS30" s="2008"/>
      <c r="CT30" s="2008"/>
      <c r="CU30" s="2008"/>
      <c r="CV30" s="2008"/>
      <c r="CW30" s="2008"/>
      <c r="CX30" s="2008"/>
      <c r="CY30" s="2008"/>
      <c r="CZ30" s="2008"/>
      <c r="DA30" s="2008"/>
      <c r="DB30" s="2008"/>
      <c r="DC30" s="2008"/>
      <c r="DD30" s="2008"/>
      <c r="DE30" s="2008"/>
      <c r="DF30" s="2008"/>
      <c r="DG30" s="2008"/>
      <c r="DH30" s="2008"/>
      <c r="DI30" s="2008"/>
      <c r="DJ30" s="2008"/>
      <c r="DK30" s="2008"/>
      <c r="DL30" s="2008"/>
      <c r="DM30" s="2008"/>
      <c r="DN30" s="2008"/>
      <c r="DO30" s="2008"/>
      <c r="DP30" s="2008"/>
      <c r="DQ30" s="2008"/>
      <c r="DR30" s="5163"/>
      <c r="DZ30" s="1081">
        <v>54</v>
      </c>
    </row>
    <row r="31" spans="1:130" ht="14.65" customHeight="1">
      <c r="R31" s="312"/>
      <c r="S31" s="312"/>
      <c r="T31" s="312"/>
      <c r="U31" s="5331" t="str">
        <f>IF(org=0,"Не определено",org)</f>
        <v>ПАО "ТГК-1" филиал "Невский"</v>
      </c>
      <c r="V31" s="5331"/>
      <c r="W31" s="5331"/>
      <c r="X31" s="5331"/>
      <c r="Y31" s="5331"/>
      <c r="Z31" s="5331"/>
      <c r="AA31" s="5331"/>
      <c r="AB31" s="5331"/>
      <c r="AC31" s="5331"/>
      <c r="AD31" s="5331"/>
      <c r="AE31" s="5331"/>
      <c r="AF31" s="5331"/>
      <c r="AG31" s="5331"/>
      <c r="AH31" s="5331"/>
      <c r="AI31" s="5331"/>
      <c r="AJ31" s="5331"/>
      <c r="AK31" s="5331"/>
      <c r="AL31" s="5331"/>
      <c r="AM31" s="5331"/>
      <c r="AN31" s="5331"/>
      <c r="AO31" s="1169"/>
      <c r="AP31" s="2009"/>
      <c r="AQ31" s="2009"/>
      <c r="AR31" s="2009"/>
      <c r="AS31" s="2009"/>
      <c r="AT31" s="2009"/>
      <c r="AU31" s="2009"/>
      <c r="AV31" s="2009"/>
      <c r="AW31" s="2009"/>
      <c r="AX31" s="2009"/>
      <c r="AY31" s="2009"/>
      <c r="AZ31" s="2009"/>
      <c r="BA31" s="2009"/>
      <c r="BB31" s="2009"/>
      <c r="BC31" s="2009"/>
      <c r="BD31" s="2009"/>
      <c r="BE31" s="2009"/>
      <c r="BF31" s="2009"/>
      <c r="BG31" s="2009"/>
      <c r="BH31" s="2009"/>
      <c r="BI31" s="2009"/>
      <c r="BJ31" s="2009"/>
      <c r="BK31" s="2009"/>
      <c r="BL31" s="2009"/>
      <c r="BM31" s="2009"/>
      <c r="BN31" s="2009"/>
      <c r="BO31" s="2009"/>
      <c r="BP31" s="2009"/>
      <c r="BQ31" s="2009"/>
      <c r="BR31" s="2009"/>
      <c r="BS31" s="2009"/>
      <c r="BT31" s="2009"/>
      <c r="BU31" s="2009"/>
      <c r="BV31" s="2009"/>
      <c r="BW31" s="2009"/>
      <c r="BX31" s="2009"/>
      <c r="BY31" s="2009"/>
      <c r="BZ31" s="2009"/>
      <c r="CA31" s="2009"/>
      <c r="CB31" s="2009"/>
      <c r="CC31" s="2009"/>
      <c r="CD31" s="2009"/>
      <c r="CE31" s="2009"/>
      <c r="CF31" s="2009"/>
      <c r="CG31" s="2009"/>
      <c r="CH31" s="2009"/>
      <c r="CI31" s="2009"/>
      <c r="CJ31" s="2009"/>
      <c r="CK31" s="2009"/>
      <c r="CL31" s="2009"/>
      <c r="CM31" s="2009"/>
      <c r="CN31" s="2009"/>
      <c r="CO31" s="2009"/>
      <c r="CP31" s="2009"/>
      <c r="CQ31" s="2009"/>
      <c r="CR31" s="2009"/>
      <c r="CS31" s="2009"/>
      <c r="CT31" s="2009"/>
      <c r="CU31" s="2009"/>
      <c r="CV31" s="2009"/>
      <c r="CW31" s="2009"/>
      <c r="CX31" s="2009"/>
      <c r="CY31" s="2009"/>
      <c r="CZ31" s="2009"/>
      <c r="DA31" s="2009"/>
      <c r="DB31" s="2009"/>
      <c r="DC31" s="2009"/>
      <c r="DD31" s="2009"/>
      <c r="DE31" s="2009"/>
      <c r="DF31" s="2009"/>
      <c r="DG31" s="2009"/>
      <c r="DH31" s="2009"/>
      <c r="DI31" s="2009"/>
      <c r="DJ31" s="2009"/>
      <c r="DK31" s="2009"/>
      <c r="DL31" s="2009"/>
      <c r="DM31" s="2009"/>
      <c r="DN31" s="2009"/>
      <c r="DO31" s="2009"/>
      <c r="DP31" s="2009"/>
      <c r="DQ31" s="2009"/>
      <c r="DR31" s="5164"/>
      <c r="DZ31" s="1081">
        <v>14</v>
      </c>
    </row>
    <row r="32" spans="1:130" ht="14.25"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c r="CG32" s="259"/>
      <c r="CH32" s="259"/>
      <c r="CI32" s="259"/>
      <c r="CJ32" s="259"/>
      <c r="CK32" s="259"/>
      <c r="CL32" s="259"/>
      <c r="CM32" s="259"/>
      <c r="CN32" s="259"/>
      <c r="CO32" s="259"/>
      <c r="CP32" s="259"/>
      <c r="CQ32" s="259"/>
      <c r="CR32" s="259"/>
      <c r="CS32" s="259"/>
      <c r="CT32" s="259"/>
      <c r="CU32" s="259"/>
      <c r="CV32" s="259"/>
      <c r="CW32" s="259"/>
      <c r="CX32" s="259"/>
      <c r="CY32" s="259"/>
      <c r="CZ32" s="259"/>
      <c r="DA32" s="259"/>
      <c r="DB32" s="259"/>
      <c r="DC32" s="259"/>
      <c r="DD32" s="259"/>
      <c r="DE32" s="259"/>
      <c r="DF32" s="259"/>
      <c r="DG32" s="259"/>
      <c r="DH32" s="259"/>
      <c r="DI32" s="259"/>
      <c r="DJ32" s="259"/>
      <c r="DK32" s="259"/>
      <c r="DL32" s="259"/>
      <c r="DM32" s="259"/>
      <c r="DN32" s="259"/>
      <c r="DO32" s="259"/>
      <c r="DP32" s="259"/>
      <c r="DQ32" s="259"/>
      <c r="DR32" s="5165"/>
      <c r="DS32" s="445"/>
      <c r="DZ32" s="1081">
        <v>0</v>
      </c>
    </row>
    <row r="33" spans="1:130" s="1777" customFormat="1" ht="25.5" customHeight="1">
      <c r="A33" s="1174"/>
      <c r="B33" s="1174"/>
      <c r="C33" s="1174"/>
      <c r="D33" s="1174"/>
      <c r="E33" s="1174"/>
      <c r="F33" s="1174"/>
      <c r="G33" s="1174"/>
      <c r="H33" s="1174"/>
      <c r="I33" s="1174"/>
      <c r="J33" s="1174"/>
      <c r="K33" s="1174"/>
      <c r="L33" s="1174"/>
      <c r="M33" s="1306"/>
      <c r="N33" s="1174"/>
      <c r="O33" s="1174"/>
      <c r="P33" s="1174"/>
      <c r="U33" s="5370" t="s">
        <v>42</v>
      </c>
      <c r="V33" s="5370"/>
      <c r="W33" s="1298"/>
      <c r="X33" s="5372" t="str">
        <f>IF(TITLE_NAME_OR_PR_CHANGE="",IF(TITLE_NAME_OR_PR="","",TITLE_NAME_OR_PR),TITLE_NAME_OR_PR_CHANGE)</f>
        <v>Комитет по тарифам Санкт-Петербурга</v>
      </c>
      <c r="Y33" s="5372"/>
      <c r="Z33" s="5372"/>
      <c r="AA33" s="5372"/>
      <c r="AB33" s="5372"/>
      <c r="AC33" s="5372"/>
      <c r="AD33" s="5372"/>
      <c r="AE33" s="5372"/>
      <c r="AF33" s="263"/>
      <c r="AG33" s="5372" t="str">
        <f>IF(TITLE_NAME_OR_PR_CHANGE="",IF(TITLE_NAME_OR_PR="","",TITLE_NAME_OR_PR),TITLE_NAME_OR_PR_CHANGE)</f>
        <v>Комитет по тарифам Санкт-Петербурга</v>
      </c>
      <c r="AH33" s="5372"/>
      <c r="AI33" s="5372"/>
      <c r="AJ33" s="5372"/>
      <c r="AK33" s="5372"/>
      <c r="AL33" s="5372"/>
      <c r="AM33" s="5372"/>
      <c r="AN33" s="5372"/>
      <c r="AO33" s="263"/>
      <c r="AP33" s="5372" t="str">
        <f>IF(TITLE_NAME_OR_PR_CHANGE="",IF(TITLE_NAME_OR_PR="","",TITLE_NAME_OR_PR),TITLE_NAME_OR_PR_CHANGE)</f>
        <v>Комитет по тарифам Санкт-Петербурга</v>
      </c>
      <c r="AQ33" s="5372"/>
      <c r="AR33" s="5372"/>
      <c r="AS33" s="5372"/>
      <c r="AT33" s="5372"/>
      <c r="AU33" s="5372"/>
      <c r="AV33" s="5372"/>
      <c r="AW33" s="5372"/>
      <c r="AX33" s="1561"/>
      <c r="AY33" s="5372" t="str">
        <f>IF(TITLE_NAME_OR_PR_CHANGE="",IF(TITLE_NAME_OR_PR="","",TITLE_NAME_OR_PR),TITLE_NAME_OR_PR_CHANGE)</f>
        <v>Комитет по тарифам Санкт-Петербурга</v>
      </c>
      <c r="AZ33" s="5372"/>
      <c r="BA33" s="5372"/>
      <c r="BB33" s="5372"/>
      <c r="BC33" s="5372"/>
      <c r="BD33" s="5372"/>
      <c r="BE33" s="5372"/>
      <c r="BF33" s="5372"/>
      <c r="BG33" s="1561"/>
      <c r="BH33" s="5372" t="str">
        <f>IF(TITLE_NAME_OR_PR_CHANGE="",IF(TITLE_NAME_OR_PR="","",TITLE_NAME_OR_PR),TITLE_NAME_OR_PR_CHANGE)</f>
        <v>Комитет по тарифам Санкт-Петербурга</v>
      </c>
      <c r="BI33" s="5372"/>
      <c r="BJ33" s="5372"/>
      <c r="BK33" s="5372"/>
      <c r="BL33" s="5372"/>
      <c r="BM33" s="5372"/>
      <c r="BN33" s="5372"/>
      <c r="BO33" s="5372"/>
      <c r="BP33" s="1561"/>
      <c r="BQ33" s="5372" t="str">
        <f>IF(TITLE_NAME_OR_PR_CHANGE="",IF(TITLE_NAME_OR_PR="","",TITLE_NAME_OR_PR),TITLE_NAME_OR_PR_CHANGE)</f>
        <v>Комитет по тарифам Санкт-Петербурга</v>
      </c>
      <c r="BR33" s="5372"/>
      <c r="BS33" s="5372"/>
      <c r="BT33" s="5372"/>
      <c r="BU33" s="5372"/>
      <c r="BV33" s="5372"/>
      <c r="BW33" s="5372"/>
      <c r="BX33" s="5372"/>
      <c r="BY33" s="1561"/>
      <c r="BZ33" s="5372" t="str">
        <f>IF(TITLE_NAME_OR_PR_CHANGE="",IF(TITLE_NAME_OR_PR="","",TITLE_NAME_OR_PR),TITLE_NAME_OR_PR_CHANGE)</f>
        <v>Комитет по тарифам Санкт-Петербурга</v>
      </c>
      <c r="CA33" s="5372"/>
      <c r="CB33" s="5372"/>
      <c r="CC33" s="5372"/>
      <c r="CD33" s="5372"/>
      <c r="CE33" s="5372"/>
      <c r="CF33" s="5372"/>
      <c r="CG33" s="5372"/>
      <c r="CH33" s="1561"/>
      <c r="CI33" s="5372" t="str">
        <f>IF(TITLE_NAME_OR_PR_CHANGE="",IF(TITLE_NAME_OR_PR="","",TITLE_NAME_OR_PR),TITLE_NAME_OR_PR_CHANGE)</f>
        <v>Комитет по тарифам Санкт-Петербурга</v>
      </c>
      <c r="CJ33" s="5372"/>
      <c r="CK33" s="5372"/>
      <c r="CL33" s="5372"/>
      <c r="CM33" s="5372"/>
      <c r="CN33" s="5372"/>
      <c r="CO33" s="5372"/>
      <c r="CP33" s="5372"/>
      <c r="CQ33" s="1561"/>
      <c r="CR33" s="5372" t="str">
        <f>IF(TITLE_NAME_OR_PR_CHANGE="",IF(TITLE_NAME_OR_PR="","",TITLE_NAME_OR_PR),TITLE_NAME_OR_PR_CHANGE)</f>
        <v>Комитет по тарифам Санкт-Петербурга</v>
      </c>
      <c r="CS33" s="5372"/>
      <c r="CT33" s="5372"/>
      <c r="CU33" s="5372"/>
      <c r="CV33" s="5372"/>
      <c r="CW33" s="5372"/>
      <c r="CX33" s="5372"/>
      <c r="CY33" s="5372"/>
      <c r="CZ33" s="1561"/>
      <c r="DA33" s="5372" t="str">
        <f>IF(TITLE_NAME_OR_PR_CHANGE="",IF(TITLE_NAME_OR_PR="","",TITLE_NAME_OR_PR),TITLE_NAME_OR_PR_CHANGE)</f>
        <v>Комитет по тарифам Санкт-Петербурга</v>
      </c>
      <c r="DB33" s="5372"/>
      <c r="DC33" s="5372"/>
      <c r="DD33" s="5372"/>
      <c r="DE33" s="5372"/>
      <c r="DF33" s="5372"/>
      <c r="DG33" s="5372"/>
      <c r="DH33" s="5372"/>
      <c r="DI33" s="1561"/>
      <c r="DJ33" s="5372" t="str">
        <f>IF(TITLE_NAME_OR_PR_CHANGE="",IF(TITLE_NAME_OR_PR="","",TITLE_NAME_OR_PR),TITLE_NAME_OR_PR_CHANGE)</f>
        <v>Комитет по тарифам Санкт-Петербурга</v>
      </c>
      <c r="DK33" s="5372"/>
      <c r="DL33" s="5372"/>
      <c r="DM33" s="5372"/>
      <c r="DN33" s="5372"/>
      <c r="DO33" s="5372"/>
      <c r="DP33" s="5372"/>
      <c r="DQ33" s="5372"/>
      <c r="DR33" s="5155"/>
      <c r="DS33" s="263"/>
      <c r="DT33" s="217"/>
      <c r="DU33" s="304"/>
      <c r="DV33" s="304"/>
      <c r="DW33" s="304"/>
      <c r="DX33" s="304"/>
      <c r="DY33" s="304"/>
      <c r="DZ33" s="354">
        <v>0</v>
      </c>
    </row>
    <row r="34" spans="1:130" s="1777" customFormat="1" ht="18.75" customHeight="1">
      <c r="A34" s="1174"/>
      <c r="B34" s="1174"/>
      <c r="C34" s="1174"/>
      <c r="D34" s="1174"/>
      <c r="E34" s="1174"/>
      <c r="F34" s="1174"/>
      <c r="G34" s="1174"/>
      <c r="H34" s="1174"/>
      <c r="I34" s="1174"/>
      <c r="J34" s="1174"/>
      <c r="K34" s="1174"/>
      <c r="L34" s="1174"/>
      <c r="M34" s="1306"/>
      <c r="N34" s="1174"/>
      <c r="O34" s="1174"/>
      <c r="P34" s="1174"/>
      <c r="U34" s="5370" t="s">
        <v>447</v>
      </c>
      <c r="V34" s="5370"/>
      <c r="W34" s="1298"/>
      <c r="X34" s="5371">
        <f>IF(TITLE_DATE_PR_CHANGE="",IF(TITLE_DATE_PR="","",TITLE_DATE_PR),TITLE_DATE_PR_CHANGE)</f>
        <v>45470</v>
      </c>
      <c r="Y34" s="5371"/>
      <c r="Z34" s="5371"/>
      <c r="AA34" s="5371"/>
      <c r="AB34" s="5371"/>
      <c r="AC34" s="5371"/>
      <c r="AD34" s="5371"/>
      <c r="AE34" s="5371"/>
      <c r="AF34" s="263"/>
      <c r="AG34" s="5371">
        <f>IF(TITLE_DATE_PR_CHANGE="",IF(TITLE_DATE_PR="","",TITLE_DATE_PR),TITLE_DATE_PR_CHANGE)</f>
        <v>45470</v>
      </c>
      <c r="AH34" s="5371"/>
      <c r="AI34" s="5371"/>
      <c r="AJ34" s="5371"/>
      <c r="AK34" s="5371"/>
      <c r="AL34" s="5371"/>
      <c r="AM34" s="5371"/>
      <c r="AN34" s="5371"/>
      <c r="AO34" s="263"/>
      <c r="AP34" s="5371">
        <f>IF(TITLE_DATE_PR_CHANGE="",IF(TITLE_DATE_PR="","",TITLE_DATE_PR),TITLE_DATE_PR_CHANGE)</f>
        <v>45470</v>
      </c>
      <c r="AQ34" s="5371"/>
      <c r="AR34" s="5371"/>
      <c r="AS34" s="5371"/>
      <c r="AT34" s="5371"/>
      <c r="AU34" s="5371"/>
      <c r="AV34" s="5371"/>
      <c r="AW34" s="5371"/>
      <c r="AX34" s="1561"/>
      <c r="AY34" s="5371">
        <f>IF(TITLE_DATE_PR_CHANGE="",IF(TITLE_DATE_PR="","",TITLE_DATE_PR),TITLE_DATE_PR_CHANGE)</f>
        <v>45470</v>
      </c>
      <c r="AZ34" s="5371"/>
      <c r="BA34" s="5371"/>
      <c r="BB34" s="5371"/>
      <c r="BC34" s="5371"/>
      <c r="BD34" s="5371"/>
      <c r="BE34" s="5371"/>
      <c r="BF34" s="5371"/>
      <c r="BG34" s="1561"/>
      <c r="BH34" s="5371">
        <f>IF(TITLE_DATE_PR_CHANGE="",IF(TITLE_DATE_PR="","",TITLE_DATE_PR),TITLE_DATE_PR_CHANGE)</f>
        <v>45470</v>
      </c>
      <c r="BI34" s="5371"/>
      <c r="BJ34" s="5371"/>
      <c r="BK34" s="5371"/>
      <c r="BL34" s="5371"/>
      <c r="BM34" s="5371"/>
      <c r="BN34" s="5371"/>
      <c r="BO34" s="5371"/>
      <c r="BP34" s="1561"/>
      <c r="BQ34" s="5371">
        <f>IF(TITLE_DATE_PR_CHANGE="",IF(TITLE_DATE_PR="","",TITLE_DATE_PR),TITLE_DATE_PR_CHANGE)</f>
        <v>45470</v>
      </c>
      <c r="BR34" s="5371"/>
      <c r="BS34" s="5371"/>
      <c r="BT34" s="5371"/>
      <c r="BU34" s="5371"/>
      <c r="BV34" s="5371"/>
      <c r="BW34" s="5371"/>
      <c r="BX34" s="5371"/>
      <c r="BY34" s="1561"/>
      <c r="BZ34" s="5371">
        <f>IF(TITLE_DATE_PR_CHANGE="",IF(TITLE_DATE_PR="","",TITLE_DATE_PR),TITLE_DATE_PR_CHANGE)</f>
        <v>45470</v>
      </c>
      <c r="CA34" s="5371"/>
      <c r="CB34" s="5371"/>
      <c r="CC34" s="5371"/>
      <c r="CD34" s="5371"/>
      <c r="CE34" s="5371"/>
      <c r="CF34" s="5371"/>
      <c r="CG34" s="5371"/>
      <c r="CH34" s="1561"/>
      <c r="CI34" s="5371">
        <f>IF(TITLE_DATE_PR_CHANGE="",IF(TITLE_DATE_PR="","",TITLE_DATE_PR),TITLE_DATE_PR_CHANGE)</f>
        <v>45470</v>
      </c>
      <c r="CJ34" s="5371"/>
      <c r="CK34" s="5371"/>
      <c r="CL34" s="5371"/>
      <c r="CM34" s="5371"/>
      <c r="CN34" s="5371"/>
      <c r="CO34" s="5371"/>
      <c r="CP34" s="5371"/>
      <c r="CQ34" s="1561"/>
      <c r="CR34" s="5371">
        <f>IF(TITLE_DATE_PR_CHANGE="",IF(TITLE_DATE_PR="","",TITLE_DATE_PR),TITLE_DATE_PR_CHANGE)</f>
        <v>45470</v>
      </c>
      <c r="CS34" s="5371"/>
      <c r="CT34" s="5371"/>
      <c r="CU34" s="5371"/>
      <c r="CV34" s="5371"/>
      <c r="CW34" s="5371"/>
      <c r="CX34" s="5371"/>
      <c r="CY34" s="5371"/>
      <c r="CZ34" s="1561"/>
      <c r="DA34" s="5371">
        <f>IF(TITLE_DATE_PR_CHANGE="",IF(TITLE_DATE_PR="","",TITLE_DATE_PR),TITLE_DATE_PR_CHANGE)</f>
        <v>45470</v>
      </c>
      <c r="DB34" s="5371"/>
      <c r="DC34" s="5371"/>
      <c r="DD34" s="5371"/>
      <c r="DE34" s="5371"/>
      <c r="DF34" s="5371"/>
      <c r="DG34" s="5371"/>
      <c r="DH34" s="5371"/>
      <c r="DI34" s="1561"/>
      <c r="DJ34" s="5371">
        <f>IF(TITLE_DATE_PR_CHANGE="",IF(TITLE_DATE_PR="","",TITLE_DATE_PR),TITLE_DATE_PR_CHANGE)</f>
        <v>45470</v>
      </c>
      <c r="DK34" s="5371"/>
      <c r="DL34" s="5371"/>
      <c r="DM34" s="5371"/>
      <c r="DN34" s="5371"/>
      <c r="DO34" s="5371"/>
      <c r="DP34" s="5371"/>
      <c r="DQ34" s="5371"/>
      <c r="DR34" s="5155"/>
      <c r="DS34" s="263"/>
      <c r="DT34" s="217"/>
      <c r="DU34" s="304"/>
      <c r="DV34" s="304"/>
      <c r="DW34" s="304"/>
      <c r="DX34" s="304"/>
      <c r="DY34" s="304"/>
      <c r="DZ34" s="354">
        <v>0</v>
      </c>
    </row>
    <row r="35" spans="1:130" s="1777" customFormat="1" ht="18.75" customHeight="1">
      <c r="A35" s="1174"/>
      <c r="B35" s="1174"/>
      <c r="C35" s="1174"/>
      <c r="D35" s="1174"/>
      <c r="E35" s="1174"/>
      <c r="F35" s="1174"/>
      <c r="G35" s="1174"/>
      <c r="H35" s="1174"/>
      <c r="I35" s="1174"/>
      <c r="J35" s="1174"/>
      <c r="K35" s="1174"/>
      <c r="L35" s="1174"/>
      <c r="M35" s="1306"/>
      <c r="N35" s="1174"/>
      <c r="O35" s="1174"/>
      <c r="P35" s="1174"/>
      <c r="U35" s="5370" t="s">
        <v>448</v>
      </c>
      <c r="V35" s="5370"/>
      <c r="W35" s="1298"/>
      <c r="X35" s="5372" t="str">
        <f>IF(TITLE_NUMBER_PR_CHANGE="",IF(TITLE_NUMBER_PR="","",TITLE_NUMBER_PR),TITLE_NUMBER_PR_CHANGE)</f>
        <v>94-р</v>
      </c>
      <c r="Y35" s="5372"/>
      <c r="Z35" s="5372"/>
      <c r="AA35" s="5372"/>
      <c r="AB35" s="5372"/>
      <c r="AC35" s="5372"/>
      <c r="AD35" s="5372"/>
      <c r="AE35" s="5372"/>
      <c r="AF35" s="263"/>
      <c r="AG35" s="5372" t="str">
        <f>IF(TITLE_NUMBER_PR_CHANGE="",IF(TITLE_NUMBER_PR="","",TITLE_NUMBER_PR),TITLE_NUMBER_PR_CHANGE)</f>
        <v>94-р</v>
      </c>
      <c r="AH35" s="5372"/>
      <c r="AI35" s="5372"/>
      <c r="AJ35" s="5372"/>
      <c r="AK35" s="5372"/>
      <c r="AL35" s="5372"/>
      <c r="AM35" s="5372"/>
      <c r="AN35" s="5372"/>
      <c r="AO35" s="263"/>
      <c r="AP35" s="5372" t="str">
        <f>IF(TITLE_NUMBER_PR_CHANGE="",IF(TITLE_NUMBER_PR="","",TITLE_NUMBER_PR),TITLE_NUMBER_PR_CHANGE)</f>
        <v>94-р</v>
      </c>
      <c r="AQ35" s="5372"/>
      <c r="AR35" s="5372"/>
      <c r="AS35" s="5372"/>
      <c r="AT35" s="5372"/>
      <c r="AU35" s="5372"/>
      <c r="AV35" s="5372"/>
      <c r="AW35" s="5372"/>
      <c r="AX35" s="1561"/>
      <c r="AY35" s="5372" t="str">
        <f>IF(TITLE_NUMBER_PR_CHANGE="",IF(TITLE_NUMBER_PR="","",TITLE_NUMBER_PR),TITLE_NUMBER_PR_CHANGE)</f>
        <v>94-р</v>
      </c>
      <c r="AZ35" s="5372"/>
      <c r="BA35" s="5372"/>
      <c r="BB35" s="5372"/>
      <c r="BC35" s="5372"/>
      <c r="BD35" s="5372"/>
      <c r="BE35" s="5372"/>
      <c r="BF35" s="5372"/>
      <c r="BG35" s="1561"/>
      <c r="BH35" s="5372" t="str">
        <f>IF(TITLE_NUMBER_PR_CHANGE="",IF(TITLE_NUMBER_PR="","",TITLE_NUMBER_PR),TITLE_NUMBER_PR_CHANGE)</f>
        <v>94-р</v>
      </c>
      <c r="BI35" s="5372"/>
      <c r="BJ35" s="5372"/>
      <c r="BK35" s="5372"/>
      <c r="BL35" s="5372"/>
      <c r="BM35" s="5372"/>
      <c r="BN35" s="5372"/>
      <c r="BO35" s="5372"/>
      <c r="BP35" s="1561"/>
      <c r="BQ35" s="5372" t="str">
        <f>IF(TITLE_NUMBER_PR_CHANGE="",IF(TITLE_NUMBER_PR="","",TITLE_NUMBER_PR),TITLE_NUMBER_PR_CHANGE)</f>
        <v>94-р</v>
      </c>
      <c r="BR35" s="5372"/>
      <c r="BS35" s="5372"/>
      <c r="BT35" s="5372"/>
      <c r="BU35" s="5372"/>
      <c r="BV35" s="5372"/>
      <c r="BW35" s="5372"/>
      <c r="BX35" s="5372"/>
      <c r="BY35" s="1561"/>
      <c r="BZ35" s="5372" t="str">
        <f>IF(TITLE_NUMBER_PR_CHANGE="",IF(TITLE_NUMBER_PR="","",TITLE_NUMBER_PR),TITLE_NUMBER_PR_CHANGE)</f>
        <v>94-р</v>
      </c>
      <c r="CA35" s="5372"/>
      <c r="CB35" s="5372"/>
      <c r="CC35" s="5372"/>
      <c r="CD35" s="5372"/>
      <c r="CE35" s="5372"/>
      <c r="CF35" s="5372"/>
      <c r="CG35" s="5372"/>
      <c r="CH35" s="1561"/>
      <c r="CI35" s="5372" t="str">
        <f>IF(TITLE_NUMBER_PR_CHANGE="",IF(TITLE_NUMBER_PR="","",TITLE_NUMBER_PR),TITLE_NUMBER_PR_CHANGE)</f>
        <v>94-р</v>
      </c>
      <c r="CJ35" s="5372"/>
      <c r="CK35" s="5372"/>
      <c r="CL35" s="5372"/>
      <c r="CM35" s="5372"/>
      <c r="CN35" s="5372"/>
      <c r="CO35" s="5372"/>
      <c r="CP35" s="5372"/>
      <c r="CQ35" s="1561"/>
      <c r="CR35" s="5372" t="str">
        <f>IF(TITLE_NUMBER_PR_CHANGE="",IF(TITLE_NUMBER_PR="","",TITLE_NUMBER_PR),TITLE_NUMBER_PR_CHANGE)</f>
        <v>94-р</v>
      </c>
      <c r="CS35" s="5372"/>
      <c r="CT35" s="5372"/>
      <c r="CU35" s="5372"/>
      <c r="CV35" s="5372"/>
      <c r="CW35" s="5372"/>
      <c r="CX35" s="5372"/>
      <c r="CY35" s="5372"/>
      <c r="CZ35" s="1561"/>
      <c r="DA35" s="5372" t="str">
        <f>IF(TITLE_NUMBER_PR_CHANGE="",IF(TITLE_NUMBER_PR="","",TITLE_NUMBER_PR),TITLE_NUMBER_PR_CHANGE)</f>
        <v>94-р</v>
      </c>
      <c r="DB35" s="5372"/>
      <c r="DC35" s="5372"/>
      <c r="DD35" s="5372"/>
      <c r="DE35" s="5372"/>
      <c r="DF35" s="5372"/>
      <c r="DG35" s="5372"/>
      <c r="DH35" s="5372"/>
      <c r="DI35" s="1561"/>
      <c r="DJ35" s="5372" t="str">
        <f>IF(TITLE_NUMBER_PR_CHANGE="",IF(TITLE_NUMBER_PR="","",TITLE_NUMBER_PR),TITLE_NUMBER_PR_CHANGE)</f>
        <v>94-р</v>
      </c>
      <c r="DK35" s="5372"/>
      <c r="DL35" s="5372"/>
      <c r="DM35" s="5372"/>
      <c r="DN35" s="5372"/>
      <c r="DO35" s="5372"/>
      <c r="DP35" s="5372"/>
      <c r="DQ35" s="5372"/>
      <c r="DR35" s="5155"/>
      <c r="DS35" s="263"/>
      <c r="DT35" s="217"/>
      <c r="DU35" s="304"/>
      <c r="DV35" s="304"/>
      <c r="DW35" s="304"/>
      <c r="DX35" s="304"/>
      <c r="DY35" s="304"/>
      <c r="DZ35" s="354">
        <v>0</v>
      </c>
    </row>
    <row r="36" spans="1:130" s="1777" customFormat="1" ht="18.75" customHeight="1">
      <c r="A36" s="1174"/>
      <c r="B36" s="1174"/>
      <c r="C36" s="1174"/>
      <c r="D36" s="1174"/>
      <c r="E36" s="1174"/>
      <c r="F36" s="1174"/>
      <c r="G36" s="1174"/>
      <c r="H36" s="1174"/>
      <c r="I36" s="1174"/>
      <c r="J36" s="1174"/>
      <c r="K36" s="1174"/>
      <c r="L36" s="1174"/>
      <c r="M36" s="1306"/>
      <c r="N36" s="1174"/>
      <c r="O36" s="1174"/>
      <c r="P36" s="1174"/>
      <c r="U36" s="5370" t="s">
        <v>44</v>
      </c>
      <c r="V36" s="5370"/>
      <c r="W36" s="1298"/>
      <c r="X36" s="5372" t="str">
        <f>IF(TITLE_IST_PUB_CHANGE="",IF(TITLE_IST_PUB="","",TITLE_IST_PUB),TITLE_IST_PUB_CHANGE)</f>
        <v>http://publication.pravo.gov.ru/document/7801202407010029</v>
      </c>
      <c r="Y36" s="5372"/>
      <c r="Z36" s="5372"/>
      <c r="AA36" s="5372"/>
      <c r="AB36" s="5372"/>
      <c r="AC36" s="5372"/>
      <c r="AD36" s="5372"/>
      <c r="AE36" s="5372"/>
      <c r="AF36" s="263"/>
      <c r="AG36" s="5372" t="str">
        <f>IF(TITLE_IST_PUB_CHANGE="",IF(TITLE_IST_PUB="","",TITLE_IST_PUB),TITLE_IST_PUB_CHANGE)</f>
        <v>http://publication.pravo.gov.ru/document/7801202407010029</v>
      </c>
      <c r="AH36" s="5372"/>
      <c r="AI36" s="5372"/>
      <c r="AJ36" s="5372"/>
      <c r="AK36" s="5372"/>
      <c r="AL36" s="5372"/>
      <c r="AM36" s="5372"/>
      <c r="AN36" s="5372"/>
      <c r="AO36" s="263"/>
      <c r="AP36" s="5372" t="str">
        <f>IF(TITLE_IST_PUB_CHANGE="",IF(TITLE_IST_PUB="","",TITLE_IST_PUB),TITLE_IST_PUB_CHANGE)</f>
        <v>http://publication.pravo.gov.ru/document/7801202407010029</v>
      </c>
      <c r="AQ36" s="5372"/>
      <c r="AR36" s="5372"/>
      <c r="AS36" s="5372"/>
      <c r="AT36" s="5372"/>
      <c r="AU36" s="5372"/>
      <c r="AV36" s="5372"/>
      <c r="AW36" s="5372"/>
      <c r="AX36" s="1561"/>
      <c r="AY36" s="5372" t="str">
        <f>IF(TITLE_IST_PUB_CHANGE="",IF(TITLE_IST_PUB="","",TITLE_IST_PUB),TITLE_IST_PUB_CHANGE)</f>
        <v>http://publication.pravo.gov.ru/document/7801202407010029</v>
      </c>
      <c r="AZ36" s="5372"/>
      <c r="BA36" s="5372"/>
      <c r="BB36" s="5372"/>
      <c r="BC36" s="5372"/>
      <c r="BD36" s="5372"/>
      <c r="BE36" s="5372"/>
      <c r="BF36" s="5372"/>
      <c r="BG36" s="1561"/>
      <c r="BH36" s="5372" t="str">
        <f>IF(TITLE_IST_PUB_CHANGE="",IF(TITLE_IST_PUB="","",TITLE_IST_PUB),TITLE_IST_PUB_CHANGE)</f>
        <v>http://publication.pravo.gov.ru/document/7801202407010029</v>
      </c>
      <c r="BI36" s="5372"/>
      <c r="BJ36" s="5372"/>
      <c r="BK36" s="5372"/>
      <c r="BL36" s="5372"/>
      <c r="BM36" s="5372"/>
      <c r="BN36" s="5372"/>
      <c r="BO36" s="5372"/>
      <c r="BP36" s="1561"/>
      <c r="BQ36" s="5372" t="str">
        <f>IF(TITLE_IST_PUB_CHANGE="",IF(TITLE_IST_PUB="","",TITLE_IST_PUB),TITLE_IST_PUB_CHANGE)</f>
        <v>http://publication.pravo.gov.ru/document/7801202407010029</v>
      </c>
      <c r="BR36" s="5372"/>
      <c r="BS36" s="5372"/>
      <c r="BT36" s="5372"/>
      <c r="BU36" s="5372"/>
      <c r="BV36" s="5372"/>
      <c r="BW36" s="5372"/>
      <c r="BX36" s="5372"/>
      <c r="BY36" s="1561"/>
      <c r="BZ36" s="5372" t="str">
        <f>IF(TITLE_IST_PUB_CHANGE="",IF(TITLE_IST_PUB="","",TITLE_IST_PUB),TITLE_IST_PUB_CHANGE)</f>
        <v>http://publication.pravo.gov.ru/document/7801202407010029</v>
      </c>
      <c r="CA36" s="5372"/>
      <c r="CB36" s="5372"/>
      <c r="CC36" s="5372"/>
      <c r="CD36" s="5372"/>
      <c r="CE36" s="5372"/>
      <c r="CF36" s="5372"/>
      <c r="CG36" s="5372"/>
      <c r="CH36" s="1561"/>
      <c r="CI36" s="5372" t="str">
        <f>IF(TITLE_IST_PUB_CHANGE="",IF(TITLE_IST_PUB="","",TITLE_IST_PUB),TITLE_IST_PUB_CHANGE)</f>
        <v>http://publication.pravo.gov.ru/document/7801202407010029</v>
      </c>
      <c r="CJ36" s="5372"/>
      <c r="CK36" s="5372"/>
      <c r="CL36" s="5372"/>
      <c r="CM36" s="5372"/>
      <c r="CN36" s="5372"/>
      <c r="CO36" s="5372"/>
      <c r="CP36" s="5372"/>
      <c r="CQ36" s="1561"/>
      <c r="CR36" s="5372" t="str">
        <f>IF(TITLE_IST_PUB_CHANGE="",IF(TITLE_IST_PUB="","",TITLE_IST_PUB),TITLE_IST_PUB_CHANGE)</f>
        <v>http://publication.pravo.gov.ru/document/7801202407010029</v>
      </c>
      <c r="CS36" s="5372"/>
      <c r="CT36" s="5372"/>
      <c r="CU36" s="5372"/>
      <c r="CV36" s="5372"/>
      <c r="CW36" s="5372"/>
      <c r="CX36" s="5372"/>
      <c r="CY36" s="5372"/>
      <c r="CZ36" s="1561"/>
      <c r="DA36" s="5372" t="str">
        <f>IF(TITLE_IST_PUB_CHANGE="",IF(TITLE_IST_PUB="","",TITLE_IST_PUB),TITLE_IST_PUB_CHANGE)</f>
        <v>http://publication.pravo.gov.ru/document/7801202407010029</v>
      </c>
      <c r="DB36" s="5372"/>
      <c r="DC36" s="5372"/>
      <c r="DD36" s="5372"/>
      <c r="DE36" s="5372"/>
      <c r="DF36" s="5372"/>
      <c r="DG36" s="5372"/>
      <c r="DH36" s="5372"/>
      <c r="DI36" s="1561"/>
      <c r="DJ36" s="5372" t="str">
        <f>IF(TITLE_IST_PUB_CHANGE="",IF(TITLE_IST_PUB="","",TITLE_IST_PUB),TITLE_IST_PUB_CHANGE)</f>
        <v>http://publication.pravo.gov.ru/document/7801202407010029</v>
      </c>
      <c r="DK36" s="5372"/>
      <c r="DL36" s="5372"/>
      <c r="DM36" s="5372"/>
      <c r="DN36" s="5372"/>
      <c r="DO36" s="5372"/>
      <c r="DP36" s="5372"/>
      <c r="DQ36" s="5372"/>
      <c r="DR36" s="5155"/>
      <c r="DS36" s="263"/>
      <c r="DT36" s="217"/>
      <c r="DU36" s="304"/>
      <c r="DV36" s="304"/>
      <c r="DW36" s="304"/>
      <c r="DX36" s="304"/>
      <c r="DY36" s="304"/>
      <c r="DZ36" s="354">
        <v>0</v>
      </c>
    </row>
    <row r="37" spans="1:130"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c r="CG37" s="259"/>
      <c r="CH37" s="259"/>
      <c r="CI37" s="259"/>
      <c r="CJ37" s="259"/>
      <c r="CK37" s="259"/>
      <c r="CL37" s="259"/>
      <c r="CM37" s="259"/>
      <c r="CN37" s="259"/>
      <c r="CO37" s="259"/>
      <c r="CP37" s="259"/>
      <c r="CQ37" s="259"/>
      <c r="CR37" s="259"/>
      <c r="CS37" s="259"/>
      <c r="CT37" s="259"/>
      <c r="CU37" s="259"/>
      <c r="CV37" s="259"/>
      <c r="CW37" s="259"/>
      <c r="CX37" s="259"/>
      <c r="CY37" s="259"/>
      <c r="CZ37" s="259"/>
      <c r="DA37" s="259"/>
      <c r="DB37" s="259"/>
      <c r="DC37" s="259"/>
      <c r="DD37" s="259"/>
      <c r="DE37" s="259"/>
      <c r="DF37" s="259"/>
      <c r="DG37" s="259"/>
      <c r="DH37" s="259"/>
      <c r="DI37" s="259"/>
      <c r="DJ37" s="259"/>
      <c r="DK37" s="259"/>
      <c r="DL37" s="259"/>
      <c r="DM37" s="259"/>
      <c r="DN37" s="259"/>
      <c r="DO37" s="259"/>
      <c r="DP37" s="259"/>
      <c r="DQ37" s="259"/>
      <c r="DR37" s="5165"/>
      <c r="DS37" s="445"/>
      <c r="DZ37" s="1081">
        <v>0</v>
      </c>
    </row>
    <row r="38" spans="1:130" s="1777" customFormat="1" ht="18.75" hidden="1" customHeight="1">
      <c r="A38" s="1174"/>
      <c r="B38" s="1174"/>
      <c r="C38" s="1174"/>
      <c r="D38" s="1174"/>
      <c r="E38" s="1174"/>
      <c r="F38" s="1174"/>
      <c r="G38" s="1174"/>
      <c r="H38" s="1174"/>
      <c r="I38" s="1174"/>
      <c r="J38" s="1174"/>
      <c r="K38" s="1174"/>
      <c r="L38" s="1174"/>
      <c r="M38" s="1306"/>
      <c r="N38" s="1174"/>
      <c r="O38" s="1174"/>
      <c r="P38" s="1174"/>
      <c r="U38" s="5370" t="s">
        <v>449</v>
      </c>
      <c r="V38" s="5370"/>
      <c r="W38" s="1298"/>
      <c r="X38" s="5371">
        <f>IF(TITLE_DATE_PR_CHANGE="",IF(TITLE_DATE_PR="","",TITLE_DATE_PR),TITLE_DATE_PR_CHANGE)</f>
        <v>45470</v>
      </c>
      <c r="Y38" s="5371"/>
      <c r="Z38" s="5371"/>
      <c r="AA38" s="5371"/>
      <c r="AB38" s="5371"/>
      <c r="AC38" s="5371"/>
      <c r="AD38" s="5371"/>
      <c r="AE38" s="5371"/>
      <c r="AF38" s="263"/>
      <c r="AG38" s="5371">
        <f>IF(TITLE_DATE_PR_CHANGE="",IF(TITLE_DATE_PR="","",TITLE_DATE_PR),TITLE_DATE_PR_CHANGE)</f>
        <v>45470</v>
      </c>
      <c r="AH38" s="5371"/>
      <c r="AI38" s="5371"/>
      <c r="AJ38" s="5371"/>
      <c r="AK38" s="5371"/>
      <c r="AL38" s="5371"/>
      <c r="AM38" s="5371"/>
      <c r="AN38" s="5371"/>
      <c r="AO38" s="263"/>
      <c r="AP38" s="5371">
        <f>IF(TITLE_DATE_PR_CHANGE="",IF(TITLE_DATE_PR="","",TITLE_DATE_PR),TITLE_DATE_PR_CHANGE)</f>
        <v>45470</v>
      </c>
      <c r="AQ38" s="5371"/>
      <c r="AR38" s="5371"/>
      <c r="AS38" s="5371"/>
      <c r="AT38" s="5371"/>
      <c r="AU38" s="5371"/>
      <c r="AV38" s="5371"/>
      <c r="AW38" s="5371"/>
      <c r="AX38" s="1561"/>
      <c r="AY38" s="5371">
        <f>IF(TITLE_DATE_PR_CHANGE="",IF(TITLE_DATE_PR="","",TITLE_DATE_PR),TITLE_DATE_PR_CHANGE)</f>
        <v>45470</v>
      </c>
      <c r="AZ38" s="5371"/>
      <c r="BA38" s="5371"/>
      <c r="BB38" s="5371"/>
      <c r="BC38" s="5371"/>
      <c r="BD38" s="5371"/>
      <c r="BE38" s="5371"/>
      <c r="BF38" s="5371"/>
      <c r="BG38" s="1561"/>
      <c r="BH38" s="5371">
        <f>IF(TITLE_DATE_PR_CHANGE="",IF(TITLE_DATE_PR="","",TITLE_DATE_PR),TITLE_DATE_PR_CHANGE)</f>
        <v>45470</v>
      </c>
      <c r="BI38" s="5371"/>
      <c r="BJ38" s="5371"/>
      <c r="BK38" s="5371"/>
      <c r="BL38" s="5371"/>
      <c r="BM38" s="5371"/>
      <c r="BN38" s="5371"/>
      <c r="BO38" s="5371"/>
      <c r="BP38" s="1561"/>
      <c r="BQ38" s="5371">
        <f>IF(TITLE_DATE_PR_CHANGE="",IF(TITLE_DATE_PR="","",TITLE_DATE_PR),TITLE_DATE_PR_CHANGE)</f>
        <v>45470</v>
      </c>
      <c r="BR38" s="5371"/>
      <c r="BS38" s="5371"/>
      <c r="BT38" s="5371"/>
      <c r="BU38" s="5371"/>
      <c r="BV38" s="5371"/>
      <c r="BW38" s="5371"/>
      <c r="BX38" s="5371"/>
      <c r="BY38" s="1561"/>
      <c r="BZ38" s="5371">
        <f>IF(TITLE_DATE_PR_CHANGE="",IF(TITLE_DATE_PR="","",TITLE_DATE_PR),TITLE_DATE_PR_CHANGE)</f>
        <v>45470</v>
      </c>
      <c r="CA38" s="5371"/>
      <c r="CB38" s="5371"/>
      <c r="CC38" s="5371"/>
      <c r="CD38" s="5371"/>
      <c r="CE38" s="5371"/>
      <c r="CF38" s="5371"/>
      <c r="CG38" s="5371"/>
      <c r="CH38" s="1561"/>
      <c r="CI38" s="5371">
        <f>IF(TITLE_DATE_PR_CHANGE="",IF(TITLE_DATE_PR="","",TITLE_DATE_PR),TITLE_DATE_PR_CHANGE)</f>
        <v>45470</v>
      </c>
      <c r="CJ38" s="5371"/>
      <c r="CK38" s="5371"/>
      <c r="CL38" s="5371"/>
      <c r="CM38" s="5371"/>
      <c r="CN38" s="5371"/>
      <c r="CO38" s="5371"/>
      <c r="CP38" s="5371"/>
      <c r="CQ38" s="1561"/>
      <c r="CR38" s="5371">
        <f>IF(TITLE_DATE_PR_CHANGE="",IF(TITLE_DATE_PR="","",TITLE_DATE_PR),TITLE_DATE_PR_CHANGE)</f>
        <v>45470</v>
      </c>
      <c r="CS38" s="5371"/>
      <c r="CT38" s="5371"/>
      <c r="CU38" s="5371"/>
      <c r="CV38" s="5371"/>
      <c r="CW38" s="5371"/>
      <c r="CX38" s="5371"/>
      <c r="CY38" s="5371"/>
      <c r="CZ38" s="1561"/>
      <c r="DA38" s="5371">
        <f>IF(TITLE_DATE_PR_CHANGE="",IF(TITLE_DATE_PR="","",TITLE_DATE_PR),TITLE_DATE_PR_CHANGE)</f>
        <v>45470</v>
      </c>
      <c r="DB38" s="5371"/>
      <c r="DC38" s="5371"/>
      <c r="DD38" s="5371"/>
      <c r="DE38" s="5371"/>
      <c r="DF38" s="5371"/>
      <c r="DG38" s="5371"/>
      <c r="DH38" s="5371"/>
      <c r="DI38" s="1561"/>
      <c r="DJ38" s="5371">
        <f>IF(TITLE_DATE_PR_CHANGE="",IF(TITLE_DATE_PR="","",TITLE_DATE_PR),TITLE_DATE_PR_CHANGE)</f>
        <v>45470</v>
      </c>
      <c r="DK38" s="5371"/>
      <c r="DL38" s="5371"/>
      <c r="DM38" s="5371"/>
      <c r="DN38" s="5371"/>
      <c r="DO38" s="5371"/>
      <c r="DP38" s="5371"/>
      <c r="DQ38" s="5371"/>
      <c r="DR38" s="5155"/>
      <c r="DS38" s="263"/>
      <c r="DT38" s="217"/>
      <c r="DU38" s="304"/>
      <c r="DV38" s="304"/>
      <c r="DW38" s="304"/>
      <c r="DX38" s="304"/>
      <c r="DY38" s="304"/>
      <c r="DZ38" s="354">
        <v>0</v>
      </c>
    </row>
    <row r="39" spans="1:130" s="1777" customFormat="1" ht="18.75" hidden="1" customHeight="1">
      <c r="A39" s="1174"/>
      <c r="B39" s="1174"/>
      <c r="C39" s="1174"/>
      <c r="D39" s="1174"/>
      <c r="E39" s="1174"/>
      <c r="F39" s="1174"/>
      <c r="G39" s="1174"/>
      <c r="H39" s="1174"/>
      <c r="I39" s="1174"/>
      <c r="J39" s="1174"/>
      <c r="K39" s="1174"/>
      <c r="L39" s="1174"/>
      <c r="M39" s="1306"/>
      <c r="N39" s="1174"/>
      <c r="O39" s="1174"/>
      <c r="P39" s="1174"/>
      <c r="U39" s="5370" t="s">
        <v>450</v>
      </c>
      <c r="V39" s="5370"/>
      <c r="W39" s="1298"/>
      <c r="X39" s="5372" t="str">
        <f>IF(TITLE_NUMBER_PR_CHANGE="",IF(TITLE_NUMBER_PR="","",TITLE_NUMBER_PR),TITLE_NUMBER_PR_CHANGE)</f>
        <v>94-р</v>
      </c>
      <c r="Y39" s="5372"/>
      <c r="Z39" s="5372"/>
      <c r="AA39" s="5372"/>
      <c r="AB39" s="5372"/>
      <c r="AC39" s="5372"/>
      <c r="AD39" s="5372"/>
      <c r="AE39" s="5372"/>
      <c r="AF39" s="263"/>
      <c r="AG39" s="5372" t="str">
        <f>IF(TITLE_NUMBER_PR_CHANGE="",IF(TITLE_NUMBER_PR="","",TITLE_NUMBER_PR),TITLE_NUMBER_PR_CHANGE)</f>
        <v>94-р</v>
      </c>
      <c r="AH39" s="5372"/>
      <c r="AI39" s="5372"/>
      <c r="AJ39" s="5372"/>
      <c r="AK39" s="5372"/>
      <c r="AL39" s="5372"/>
      <c r="AM39" s="5372"/>
      <c r="AN39" s="5372"/>
      <c r="AO39" s="263"/>
      <c r="AP39" s="5372" t="str">
        <f>IF(TITLE_NUMBER_PR_CHANGE="",IF(TITLE_NUMBER_PR="","",TITLE_NUMBER_PR),TITLE_NUMBER_PR_CHANGE)</f>
        <v>94-р</v>
      </c>
      <c r="AQ39" s="5372"/>
      <c r="AR39" s="5372"/>
      <c r="AS39" s="5372"/>
      <c r="AT39" s="5372"/>
      <c r="AU39" s="5372"/>
      <c r="AV39" s="5372"/>
      <c r="AW39" s="5372"/>
      <c r="AX39" s="1561"/>
      <c r="AY39" s="5372" t="str">
        <f>IF(TITLE_NUMBER_PR_CHANGE="",IF(TITLE_NUMBER_PR="","",TITLE_NUMBER_PR),TITLE_NUMBER_PR_CHANGE)</f>
        <v>94-р</v>
      </c>
      <c r="AZ39" s="5372"/>
      <c r="BA39" s="5372"/>
      <c r="BB39" s="5372"/>
      <c r="BC39" s="5372"/>
      <c r="BD39" s="5372"/>
      <c r="BE39" s="5372"/>
      <c r="BF39" s="5372"/>
      <c r="BG39" s="1561"/>
      <c r="BH39" s="5372" t="str">
        <f>IF(TITLE_NUMBER_PR_CHANGE="",IF(TITLE_NUMBER_PR="","",TITLE_NUMBER_PR),TITLE_NUMBER_PR_CHANGE)</f>
        <v>94-р</v>
      </c>
      <c r="BI39" s="5372"/>
      <c r="BJ39" s="5372"/>
      <c r="BK39" s="5372"/>
      <c r="BL39" s="5372"/>
      <c r="BM39" s="5372"/>
      <c r="BN39" s="5372"/>
      <c r="BO39" s="5372"/>
      <c r="BP39" s="1561"/>
      <c r="BQ39" s="5372" t="str">
        <f>IF(TITLE_NUMBER_PR_CHANGE="",IF(TITLE_NUMBER_PR="","",TITLE_NUMBER_PR),TITLE_NUMBER_PR_CHANGE)</f>
        <v>94-р</v>
      </c>
      <c r="BR39" s="5372"/>
      <c r="BS39" s="5372"/>
      <c r="BT39" s="5372"/>
      <c r="BU39" s="5372"/>
      <c r="BV39" s="5372"/>
      <c r="BW39" s="5372"/>
      <c r="BX39" s="5372"/>
      <c r="BY39" s="1561"/>
      <c r="BZ39" s="5372" t="str">
        <f>IF(TITLE_NUMBER_PR_CHANGE="",IF(TITLE_NUMBER_PR="","",TITLE_NUMBER_PR),TITLE_NUMBER_PR_CHANGE)</f>
        <v>94-р</v>
      </c>
      <c r="CA39" s="5372"/>
      <c r="CB39" s="5372"/>
      <c r="CC39" s="5372"/>
      <c r="CD39" s="5372"/>
      <c r="CE39" s="5372"/>
      <c r="CF39" s="5372"/>
      <c r="CG39" s="5372"/>
      <c r="CH39" s="1561"/>
      <c r="CI39" s="5372" t="str">
        <f>IF(TITLE_NUMBER_PR_CHANGE="",IF(TITLE_NUMBER_PR="","",TITLE_NUMBER_PR),TITLE_NUMBER_PR_CHANGE)</f>
        <v>94-р</v>
      </c>
      <c r="CJ39" s="5372"/>
      <c r="CK39" s="5372"/>
      <c r="CL39" s="5372"/>
      <c r="CM39" s="5372"/>
      <c r="CN39" s="5372"/>
      <c r="CO39" s="5372"/>
      <c r="CP39" s="5372"/>
      <c r="CQ39" s="1561"/>
      <c r="CR39" s="5372" t="str">
        <f>IF(TITLE_NUMBER_PR_CHANGE="",IF(TITLE_NUMBER_PR="","",TITLE_NUMBER_PR),TITLE_NUMBER_PR_CHANGE)</f>
        <v>94-р</v>
      </c>
      <c r="CS39" s="5372"/>
      <c r="CT39" s="5372"/>
      <c r="CU39" s="5372"/>
      <c r="CV39" s="5372"/>
      <c r="CW39" s="5372"/>
      <c r="CX39" s="5372"/>
      <c r="CY39" s="5372"/>
      <c r="CZ39" s="1561"/>
      <c r="DA39" s="5372" t="str">
        <f>IF(TITLE_NUMBER_PR_CHANGE="",IF(TITLE_NUMBER_PR="","",TITLE_NUMBER_PR),TITLE_NUMBER_PR_CHANGE)</f>
        <v>94-р</v>
      </c>
      <c r="DB39" s="5372"/>
      <c r="DC39" s="5372"/>
      <c r="DD39" s="5372"/>
      <c r="DE39" s="5372"/>
      <c r="DF39" s="5372"/>
      <c r="DG39" s="5372"/>
      <c r="DH39" s="5372"/>
      <c r="DI39" s="1561"/>
      <c r="DJ39" s="5372" t="str">
        <f>IF(TITLE_NUMBER_PR_CHANGE="",IF(TITLE_NUMBER_PR="","",TITLE_NUMBER_PR),TITLE_NUMBER_PR_CHANGE)</f>
        <v>94-р</v>
      </c>
      <c r="DK39" s="5372"/>
      <c r="DL39" s="5372"/>
      <c r="DM39" s="5372"/>
      <c r="DN39" s="5372"/>
      <c r="DO39" s="5372"/>
      <c r="DP39" s="5372"/>
      <c r="DQ39" s="5372"/>
      <c r="DR39" s="5155"/>
      <c r="DS39" s="263"/>
      <c r="DT39" s="217"/>
      <c r="DU39" s="304"/>
      <c r="DV39" s="304"/>
      <c r="DW39" s="304"/>
      <c r="DX39" s="304"/>
      <c r="DY39" s="304"/>
      <c r="DZ39" s="354">
        <v>0</v>
      </c>
    </row>
    <row r="40" spans="1:130"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451</v>
      </c>
      <c r="AG40" s="263"/>
      <c r="AH40" s="263"/>
      <c r="AI40" s="263"/>
      <c r="AJ40" s="263"/>
      <c r="AK40" s="263"/>
      <c r="AL40" s="263"/>
      <c r="AM40" s="263"/>
      <c r="AN40" s="263"/>
      <c r="AO40" s="215" t="s">
        <v>451</v>
      </c>
      <c r="AP40" s="1561"/>
      <c r="AQ40" s="1561"/>
      <c r="AR40" s="1561"/>
      <c r="AS40" s="1561"/>
      <c r="AT40" s="1561"/>
      <c r="AU40" s="1561"/>
      <c r="AV40" s="1561"/>
      <c r="AW40" s="1561"/>
      <c r="AX40" s="1568" t="s">
        <v>451</v>
      </c>
      <c r="AY40" s="1561"/>
      <c r="AZ40" s="1561"/>
      <c r="BA40" s="1561"/>
      <c r="BB40" s="1561"/>
      <c r="BC40" s="1561"/>
      <c r="BD40" s="1561"/>
      <c r="BE40" s="1561"/>
      <c r="BF40" s="1561"/>
      <c r="BG40" s="1568" t="s">
        <v>451</v>
      </c>
      <c r="BH40" s="1561"/>
      <c r="BI40" s="1561"/>
      <c r="BJ40" s="1561"/>
      <c r="BK40" s="1561"/>
      <c r="BL40" s="1561"/>
      <c r="BM40" s="1561"/>
      <c r="BN40" s="1561"/>
      <c r="BO40" s="1561"/>
      <c r="BP40" s="1568" t="s">
        <v>451</v>
      </c>
      <c r="BQ40" s="1561"/>
      <c r="BR40" s="1561"/>
      <c r="BS40" s="1561"/>
      <c r="BT40" s="1561"/>
      <c r="BU40" s="1561"/>
      <c r="BV40" s="1561"/>
      <c r="BW40" s="1561"/>
      <c r="BX40" s="1561"/>
      <c r="BY40" s="1568" t="s">
        <v>451</v>
      </c>
      <c r="BZ40" s="1561"/>
      <c r="CA40" s="1561"/>
      <c r="CB40" s="1561"/>
      <c r="CC40" s="1561"/>
      <c r="CD40" s="1561"/>
      <c r="CE40" s="1561"/>
      <c r="CF40" s="1561"/>
      <c r="CG40" s="1561"/>
      <c r="CH40" s="1568" t="s">
        <v>451</v>
      </c>
      <c r="CI40" s="1561"/>
      <c r="CJ40" s="1561"/>
      <c r="CK40" s="1561"/>
      <c r="CL40" s="1561"/>
      <c r="CM40" s="1561"/>
      <c r="CN40" s="1561"/>
      <c r="CO40" s="1561"/>
      <c r="CP40" s="1561"/>
      <c r="CQ40" s="1568" t="s">
        <v>451</v>
      </c>
      <c r="CR40" s="1561"/>
      <c r="CS40" s="1561"/>
      <c r="CT40" s="1561"/>
      <c r="CU40" s="1561"/>
      <c r="CV40" s="1561"/>
      <c r="CW40" s="1561"/>
      <c r="CX40" s="1561"/>
      <c r="CY40" s="1561"/>
      <c r="CZ40" s="1568" t="s">
        <v>451</v>
      </c>
      <c r="DA40" s="1561"/>
      <c r="DB40" s="1561"/>
      <c r="DC40" s="1561"/>
      <c r="DD40" s="1561"/>
      <c r="DE40" s="1561"/>
      <c r="DF40" s="1561"/>
      <c r="DG40" s="1561"/>
      <c r="DH40" s="1561"/>
      <c r="DI40" s="1568" t="s">
        <v>451</v>
      </c>
      <c r="DJ40" s="1561"/>
      <c r="DK40" s="1561"/>
      <c r="DL40" s="1561"/>
      <c r="DM40" s="1561"/>
      <c r="DN40" s="1561"/>
      <c r="DO40" s="1561"/>
      <c r="DP40" s="1561"/>
      <c r="DQ40" s="1561"/>
      <c r="DR40" s="5166" t="s">
        <v>451</v>
      </c>
      <c r="DU40" s="304"/>
      <c r="DV40" s="304"/>
      <c r="DW40" s="304"/>
      <c r="DX40" s="304"/>
      <c r="DY40" s="304"/>
      <c r="DZ40" s="354">
        <v>0</v>
      </c>
    </row>
    <row r="41" spans="1:130" ht="14.65" customHeight="1">
      <c r="R41" s="312"/>
      <c r="S41" s="312"/>
      <c r="T41" s="312"/>
      <c r="U41" s="1201"/>
      <c r="V41" s="299"/>
      <c r="W41" s="1170"/>
      <c r="X41" s="5393"/>
      <c r="Y41" s="5393"/>
      <c r="Z41" s="5393"/>
      <c r="AA41" s="5393"/>
      <c r="AB41" s="5393"/>
      <c r="AC41" s="5393"/>
      <c r="AD41" s="5393"/>
      <c r="AE41" s="5393"/>
      <c r="AF41" s="5393"/>
      <c r="AG41" s="5393"/>
      <c r="AH41" s="5393"/>
      <c r="AI41" s="5393"/>
      <c r="AJ41" s="5393"/>
      <c r="AK41" s="5393"/>
      <c r="AL41" s="5393"/>
      <c r="AM41" s="5393"/>
      <c r="AN41" s="5393"/>
      <c r="AO41" s="5393"/>
      <c r="AP41" s="5393" t="s">
        <v>166</v>
      </c>
      <c r="AQ41" s="5393"/>
      <c r="AR41" s="5393"/>
      <c r="AS41" s="5393"/>
      <c r="AT41" s="5393"/>
      <c r="AU41" s="5393"/>
      <c r="AV41" s="5393"/>
      <c r="AW41" s="5393"/>
      <c r="AX41" s="5393"/>
      <c r="AY41" s="5393" t="s">
        <v>166</v>
      </c>
      <c r="AZ41" s="5393"/>
      <c r="BA41" s="5393"/>
      <c r="BB41" s="5393"/>
      <c r="BC41" s="5393"/>
      <c r="BD41" s="5393"/>
      <c r="BE41" s="5393"/>
      <c r="BF41" s="5393"/>
      <c r="BG41" s="5393"/>
      <c r="BH41" s="5393" t="s">
        <v>166</v>
      </c>
      <c r="BI41" s="5393"/>
      <c r="BJ41" s="5393"/>
      <c r="BK41" s="5393"/>
      <c r="BL41" s="5393"/>
      <c r="BM41" s="5393"/>
      <c r="BN41" s="5393"/>
      <c r="BO41" s="5393"/>
      <c r="BP41" s="5393"/>
      <c r="BQ41" s="5393" t="s">
        <v>166</v>
      </c>
      <c r="BR41" s="5393"/>
      <c r="BS41" s="5393"/>
      <c r="BT41" s="5393"/>
      <c r="BU41" s="5393"/>
      <c r="BV41" s="5393"/>
      <c r="BW41" s="5393"/>
      <c r="BX41" s="5393"/>
      <c r="BY41" s="5393"/>
      <c r="BZ41" s="5393" t="s">
        <v>166</v>
      </c>
      <c r="CA41" s="5393"/>
      <c r="CB41" s="5393"/>
      <c r="CC41" s="5393"/>
      <c r="CD41" s="5393"/>
      <c r="CE41" s="5393"/>
      <c r="CF41" s="5393"/>
      <c r="CG41" s="5393"/>
      <c r="CH41" s="5393"/>
      <c r="CI41" s="5393" t="s">
        <v>166</v>
      </c>
      <c r="CJ41" s="5393"/>
      <c r="CK41" s="5393"/>
      <c r="CL41" s="5393"/>
      <c r="CM41" s="5393"/>
      <c r="CN41" s="5393"/>
      <c r="CO41" s="5393"/>
      <c r="CP41" s="5393"/>
      <c r="CQ41" s="5393"/>
      <c r="CR41" s="5393" t="s">
        <v>166</v>
      </c>
      <c r="CS41" s="5393"/>
      <c r="CT41" s="5393"/>
      <c r="CU41" s="5393"/>
      <c r="CV41" s="5393"/>
      <c r="CW41" s="5393"/>
      <c r="CX41" s="5393"/>
      <c r="CY41" s="5393"/>
      <c r="CZ41" s="5393"/>
      <c r="DA41" s="5393" t="s">
        <v>166</v>
      </c>
      <c r="DB41" s="5393"/>
      <c r="DC41" s="5393"/>
      <c r="DD41" s="5393"/>
      <c r="DE41" s="5393"/>
      <c r="DF41" s="5393"/>
      <c r="DG41" s="5393"/>
      <c r="DH41" s="5393"/>
      <c r="DI41" s="5393"/>
      <c r="DJ41" s="5393" t="s">
        <v>166</v>
      </c>
      <c r="DK41" s="5393"/>
      <c r="DL41" s="5393"/>
      <c r="DM41" s="5393"/>
      <c r="DN41" s="5393"/>
      <c r="DO41" s="5393"/>
      <c r="DP41" s="5393"/>
      <c r="DQ41" s="5393"/>
      <c r="DR41" s="5410"/>
      <c r="DZ41" s="1081">
        <v>14</v>
      </c>
    </row>
    <row r="42" spans="1:130" ht="15" customHeight="1">
      <c r="R42" s="312"/>
      <c r="S42" s="312"/>
      <c r="T42" s="312"/>
      <c r="U42" s="5235" t="s">
        <v>327</v>
      </c>
      <c r="V42" s="5235"/>
      <c r="W42" s="5235"/>
      <c r="X42" s="5235"/>
      <c r="Y42" s="5235"/>
      <c r="Z42" s="5235"/>
      <c r="AA42" s="5235"/>
      <c r="AB42" s="5235"/>
      <c r="AC42" s="5235"/>
      <c r="AD42" s="5235"/>
      <c r="AE42" s="5235"/>
      <c r="AF42" s="5235"/>
      <c r="AG42" s="5235"/>
      <c r="AH42" s="5235"/>
      <c r="AI42" s="5235"/>
      <c r="AJ42" s="5235"/>
      <c r="AK42" s="5235"/>
      <c r="AL42" s="5235"/>
      <c r="AM42" s="5235"/>
      <c r="AN42" s="5235"/>
      <c r="AO42" s="5235"/>
      <c r="AP42" s="5235" t="s">
        <v>327</v>
      </c>
      <c r="AQ42" s="5235"/>
      <c r="AR42" s="5235"/>
      <c r="AS42" s="5235"/>
      <c r="AT42" s="5235"/>
      <c r="AU42" s="5235"/>
      <c r="AV42" s="5235"/>
      <c r="AW42" s="5235"/>
      <c r="AX42" s="5235"/>
      <c r="AY42" s="5235" t="s">
        <v>327</v>
      </c>
      <c r="AZ42" s="5235"/>
      <c r="BA42" s="5235"/>
      <c r="BB42" s="5235"/>
      <c r="BC42" s="5235"/>
      <c r="BD42" s="5235"/>
      <c r="BE42" s="5235"/>
      <c r="BF42" s="5235"/>
      <c r="BG42" s="5235"/>
      <c r="BH42" s="5235" t="s">
        <v>327</v>
      </c>
      <c r="BI42" s="5235"/>
      <c r="BJ42" s="5235"/>
      <c r="BK42" s="5235"/>
      <c r="BL42" s="5235"/>
      <c r="BM42" s="5235"/>
      <c r="BN42" s="5235"/>
      <c r="BO42" s="5235"/>
      <c r="BP42" s="5235"/>
      <c r="BQ42" s="5235" t="s">
        <v>327</v>
      </c>
      <c r="BR42" s="5235"/>
      <c r="BS42" s="5235"/>
      <c r="BT42" s="5235"/>
      <c r="BU42" s="5235"/>
      <c r="BV42" s="5235"/>
      <c r="BW42" s="5235"/>
      <c r="BX42" s="5235"/>
      <c r="BY42" s="5235"/>
      <c r="BZ42" s="5235" t="s">
        <v>327</v>
      </c>
      <c r="CA42" s="5235"/>
      <c r="CB42" s="5235"/>
      <c r="CC42" s="5235"/>
      <c r="CD42" s="5235"/>
      <c r="CE42" s="5235"/>
      <c r="CF42" s="5235"/>
      <c r="CG42" s="5235"/>
      <c r="CH42" s="5235"/>
      <c r="CI42" s="5235" t="s">
        <v>327</v>
      </c>
      <c r="CJ42" s="5235"/>
      <c r="CK42" s="5235"/>
      <c r="CL42" s="5235"/>
      <c r="CM42" s="5235"/>
      <c r="CN42" s="5235"/>
      <c r="CO42" s="5235"/>
      <c r="CP42" s="5235"/>
      <c r="CQ42" s="5235"/>
      <c r="CR42" s="5235" t="s">
        <v>327</v>
      </c>
      <c r="CS42" s="5235"/>
      <c r="CT42" s="5235"/>
      <c r="CU42" s="5235"/>
      <c r="CV42" s="5235"/>
      <c r="CW42" s="5235"/>
      <c r="CX42" s="5235"/>
      <c r="CY42" s="5235"/>
      <c r="CZ42" s="5235"/>
      <c r="DA42" s="5235" t="s">
        <v>327</v>
      </c>
      <c r="DB42" s="5235"/>
      <c r="DC42" s="5235"/>
      <c r="DD42" s="5235"/>
      <c r="DE42" s="5235"/>
      <c r="DF42" s="5235"/>
      <c r="DG42" s="5235"/>
      <c r="DH42" s="5235"/>
      <c r="DI42" s="5235"/>
      <c r="DJ42" s="5235" t="s">
        <v>327</v>
      </c>
      <c r="DK42" s="5235"/>
      <c r="DL42" s="5235"/>
      <c r="DM42" s="5235"/>
      <c r="DN42" s="5235"/>
      <c r="DO42" s="5235"/>
      <c r="DP42" s="5235"/>
      <c r="DQ42" s="5235"/>
      <c r="DR42" s="5394"/>
      <c r="DS42" s="5235"/>
      <c r="DT42" s="5235"/>
      <c r="DZ42" s="1081"/>
    </row>
    <row r="43" spans="1:130" ht="14.65" customHeight="1">
      <c r="R43" s="312"/>
      <c r="S43" s="312"/>
      <c r="T43" s="312"/>
      <c r="U43" s="5395" t="s">
        <v>90</v>
      </c>
      <c r="V43" s="5339" t="s">
        <v>452</v>
      </c>
      <c r="W43" s="238"/>
      <c r="X43" s="5396" t="s">
        <v>453</v>
      </c>
      <c r="Y43" s="5419"/>
      <c r="Z43" s="5419"/>
      <c r="AA43" s="5419"/>
      <c r="AB43" s="5419"/>
      <c r="AC43" s="5397"/>
      <c r="AD43" s="5397"/>
      <c r="AE43" s="5398"/>
      <c r="AF43" s="5399" t="s">
        <v>454</v>
      </c>
      <c r="AG43" s="5396" t="s">
        <v>453</v>
      </c>
      <c r="AH43" s="5419"/>
      <c r="AI43" s="5419"/>
      <c r="AJ43" s="5419"/>
      <c r="AK43" s="5419"/>
      <c r="AL43" s="5397"/>
      <c r="AM43" s="5397"/>
      <c r="AN43" s="5398"/>
      <c r="AO43" s="5399" t="s">
        <v>455</v>
      </c>
      <c r="AP43" s="5396" t="s">
        <v>453</v>
      </c>
      <c r="AQ43" s="5419"/>
      <c r="AR43" s="5419"/>
      <c r="AS43" s="5419"/>
      <c r="AT43" s="5419"/>
      <c r="AU43" s="5397"/>
      <c r="AV43" s="5397"/>
      <c r="AW43" s="5398"/>
      <c r="AX43" s="5399" t="s">
        <v>454</v>
      </c>
      <c r="AY43" s="5396" t="s">
        <v>453</v>
      </c>
      <c r="AZ43" s="5419"/>
      <c r="BA43" s="5419"/>
      <c r="BB43" s="5419"/>
      <c r="BC43" s="5419"/>
      <c r="BD43" s="5397"/>
      <c r="BE43" s="5397"/>
      <c r="BF43" s="5398"/>
      <c r="BG43" s="5399" t="s">
        <v>454</v>
      </c>
      <c r="BH43" s="5396" t="s">
        <v>453</v>
      </c>
      <c r="BI43" s="5419"/>
      <c r="BJ43" s="5419"/>
      <c r="BK43" s="5419"/>
      <c r="BL43" s="5419"/>
      <c r="BM43" s="5397"/>
      <c r="BN43" s="5397"/>
      <c r="BO43" s="5398"/>
      <c r="BP43" s="5399" t="s">
        <v>454</v>
      </c>
      <c r="BQ43" s="5396" t="s">
        <v>453</v>
      </c>
      <c r="BR43" s="5419"/>
      <c r="BS43" s="5419"/>
      <c r="BT43" s="5419"/>
      <c r="BU43" s="5419"/>
      <c r="BV43" s="5397"/>
      <c r="BW43" s="5397"/>
      <c r="BX43" s="5398"/>
      <c r="BY43" s="5399" t="s">
        <v>454</v>
      </c>
      <c r="BZ43" s="5396" t="s">
        <v>453</v>
      </c>
      <c r="CA43" s="5419"/>
      <c r="CB43" s="5419"/>
      <c r="CC43" s="5419"/>
      <c r="CD43" s="5419"/>
      <c r="CE43" s="5397"/>
      <c r="CF43" s="5397"/>
      <c r="CG43" s="5398"/>
      <c r="CH43" s="5399" t="s">
        <v>454</v>
      </c>
      <c r="CI43" s="5396" t="s">
        <v>453</v>
      </c>
      <c r="CJ43" s="5419"/>
      <c r="CK43" s="5419"/>
      <c r="CL43" s="5419"/>
      <c r="CM43" s="5419"/>
      <c r="CN43" s="5397"/>
      <c r="CO43" s="5397"/>
      <c r="CP43" s="5398"/>
      <c r="CQ43" s="5399" t="s">
        <v>454</v>
      </c>
      <c r="CR43" s="5396" t="s">
        <v>453</v>
      </c>
      <c r="CS43" s="5419"/>
      <c r="CT43" s="5419"/>
      <c r="CU43" s="5419"/>
      <c r="CV43" s="5419"/>
      <c r="CW43" s="5397"/>
      <c r="CX43" s="5397"/>
      <c r="CY43" s="5398"/>
      <c r="CZ43" s="5399" t="s">
        <v>454</v>
      </c>
      <c r="DA43" s="5396" t="s">
        <v>453</v>
      </c>
      <c r="DB43" s="5419"/>
      <c r="DC43" s="5419"/>
      <c r="DD43" s="5419"/>
      <c r="DE43" s="5419"/>
      <c r="DF43" s="5397"/>
      <c r="DG43" s="5397"/>
      <c r="DH43" s="5398"/>
      <c r="DI43" s="5399" t="s">
        <v>454</v>
      </c>
      <c r="DJ43" s="5396" t="s">
        <v>453</v>
      </c>
      <c r="DK43" s="5419"/>
      <c r="DL43" s="5419"/>
      <c r="DM43" s="5419"/>
      <c r="DN43" s="5419"/>
      <c r="DO43" s="5397"/>
      <c r="DP43" s="5397"/>
      <c r="DQ43" s="5398"/>
      <c r="DR43" s="5411" t="s">
        <v>454</v>
      </c>
      <c r="DS43" s="5402" t="s">
        <v>456</v>
      </c>
      <c r="DT43" s="5235"/>
      <c r="DZ43" s="1081">
        <v>14</v>
      </c>
    </row>
    <row r="44" spans="1:130" ht="35.65" customHeight="1">
      <c r="R44" s="312"/>
      <c r="S44" s="312"/>
      <c r="T44" s="312"/>
      <c r="U44" s="5395"/>
      <c r="V44" s="5339"/>
      <c r="W44" s="960"/>
      <c r="X44" s="5312" t="s">
        <v>484</v>
      </c>
      <c r="Y44" s="5235" t="s">
        <v>485</v>
      </c>
      <c r="Z44" s="5235"/>
      <c r="AA44" s="5235"/>
      <c r="AB44" s="5235"/>
      <c r="AC44" s="5312" t="s">
        <v>460</v>
      </c>
      <c r="AD44" s="5432"/>
      <c r="AE44" s="5313"/>
      <c r="AF44" s="5400"/>
      <c r="AG44" s="5312" t="s">
        <v>484</v>
      </c>
      <c r="AH44" s="5235" t="s">
        <v>485</v>
      </c>
      <c r="AI44" s="5235"/>
      <c r="AJ44" s="5235"/>
      <c r="AK44" s="5235"/>
      <c r="AL44" s="5312" t="s">
        <v>460</v>
      </c>
      <c r="AM44" s="5432"/>
      <c r="AN44" s="5313"/>
      <c r="AO44" s="5400"/>
      <c r="AP44" s="5312" t="s">
        <v>484</v>
      </c>
      <c r="AQ44" s="5235" t="s">
        <v>485</v>
      </c>
      <c r="AR44" s="5235"/>
      <c r="AS44" s="5235"/>
      <c r="AT44" s="5235"/>
      <c r="AU44" s="5312" t="s">
        <v>460</v>
      </c>
      <c r="AV44" s="5432"/>
      <c r="AW44" s="5313"/>
      <c r="AX44" s="5400"/>
      <c r="AY44" s="5312" t="s">
        <v>484</v>
      </c>
      <c r="AZ44" s="5235" t="s">
        <v>485</v>
      </c>
      <c r="BA44" s="5235"/>
      <c r="BB44" s="5235"/>
      <c r="BC44" s="5235"/>
      <c r="BD44" s="5312" t="s">
        <v>460</v>
      </c>
      <c r="BE44" s="5432"/>
      <c r="BF44" s="5313"/>
      <c r="BG44" s="5400"/>
      <c r="BH44" s="5312" t="s">
        <v>484</v>
      </c>
      <c r="BI44" s="5235" t="s">
        <v>485</v>
      </c>
      <c r="BJ44" s="5235"/>
      <c r="BK44" s="5235"/>
      <c r="BL44" s="5235"/>
      <c r="BM44" s="5312" t="s">
        <v>460</v>
      </c>
      <c r="BN44" s="5432"/>
      <c r="BO44" s="5313"/>
      <c r="BP44" s="5400"/>
      <c r="BQ44" s="5312" t="s">
        <v>484</v>
      </c>
      <c r="BR44" s="5235" t="s">
        <v>485</v>
      </c>
      <c r="BS44" s="5235"/>
      <c r="BT44" s="5235"/>
      <c r="BU44" s="5235"/>
      <c r="BV44" s="5312" t="s">
        <v>460</v>
      </c>
      <c r="BW44" s="5432"/>
      <c r="BX44" s="5313"/>
      <c r="BY44" s="5400"/>
      <c r="BZ44" s="5312" t="s">
        <v>484</v>
      </c>
      <c r="CA44" s="5235" t="s">
        <v>485</v>
      </c>
      <c r="CB44" s="5235"/>
      <c r="CC44" s="5235"/>
      <c r="CD44" s="5235"/>
      <c r="CE44" s="5312" t="s">
        <v>460</v>
      </c>
      <c r="CF44" s="5432"/>
      <c r="CG44" s="5313"/>
      <c r="CH44" s="5400"/>
      <c r="CI44" s="5312" t="s">
        <v>484</v>
      </c>
      <c r="CJ44" s="5235" t="s">
        <v>485</v>
      </c>
      <c r="CK44" s="5235"/>
      <c r="CL44" s="5235"/>
      <c r="CM44" s="5235"/>
      <c r="CN44" s="5312" t="s">
        <v>460</v>
      </c>
      <c r="CO44" s="5432"/>
      <c r="CP44" s="5313"/>
      <c r="CQ44" s="5400"/>
      <c r="CR44" s="5312" t="s">
        <v>484</v>
      </c>
      <c r="CS44" s="5235" t="s">
        <v>485</v>
      </c>
      <c r="CT44" s="5235"/>
      <c r="CU44" s="5235"/>
      <c r="CV44" s="5235"/>
      <c r="CW44" s="5312" t="s">
        <v>460</v>
      </c>
      <c r="CX44" s="5432"/>
      <c r="CY44" s="5313"/>
      <c r="CZ44" s="5400"/>
      <c r="DA44" s="5312" t="s">
        <v>484</v>
      </c>
      <c r="DB44" s="5235" t="s">
        <v>485</v>
      </c>
      <c r="DC44" s="5235"/>
      <c r="DD44" s="5235"/>
      <c r="DE44" s="5235"/>
      <c r="DF44" s="5312" t="s">
        <v>460</v>
      </c>
      <c r="DG44" s="5432"/>
      <c r="DH44" s="5313"/>
      <c r="DI44" s="5400"/>
      <c r="DJ44" s="5312" t="s">
        <v>484</v>
      </c>
      <c r="DK44" s="5235" t="s">
        <v>485</v>
      </c>
      <c r="DL44" s="5235"/>
      <c r="DM44" s="5235"/>
      <c r="DN44" s="5235"/>
      <c r="DO44" s="5312" t="s">
        <v>460</v>
      </c>
      <c r="DP44" s="5432"/>
      <c r="DQ44" s="5313"/>
      <c r="DR44" s="5412"/>
      <c r="DS44" s="5403"/>
      <c r="DT44" s="5235"/>
      <c r="DZ44" s="1081">
        <v>34</v>
      </c>
    </row>
    <row r="45" spans="1:130" ht="14.65" customHeight="1">
      <c r="R45" s="312"/>
      <c r="S45" s="312"/>
      <c r="T45" s="312"/>
      <c r="U45" s="5395"/>
      <c r="V45" s="5339"/>
      <c r="W45" s="960"/>
      <c r="X45" s="5314"/>
      <c r="Y45" s="5345" t="s">
        <v>486</v>
      </c>
      <c r="Z45" s="5344" t="s">
        <v>487</v>
      </c>
      <c r="AA45" s="5357"/>
      <c r="AB45" s="5358"/>
      <c r="AC45" s="5317"/>
      <c r="AD45" s="5433"/>
      <c r="AE45" s="5318"/>
      <c r="AF45" s="5400"/>
      <c r="AG45" s="5314"/>
      <c r="AH45" s="5345" t="s">
        <v>486</v>
      </c>
      <c r="AI45" s="5344" t="s">
        <v>487</v>
      </c>
      <c r="AJ45" s="5357"/>
      <c r="AK45" s="5358"/>
      <c r="AL45" s="5317"/>
      <c r="AM45" s="5433"/>
      <c r="AN45" s="5318"/>
      <c r="AO45" s="5400"/>
      <c r="AP45" s="5314"/>
      <c r="AQ45" s="5345" t="s">
        <v>486</v>
      </c>
      <c r="AR45" s="5344" t="s">
        <v>487</v>
      </c>
      <c r="AS45" s="5357"/>
      <c r="AT45" s="5358"/>
      <c r="AU45" s="5317"/>
      <c r="AV45" s="5433"/>
      <c r="AW45" s="5318"/>
      <c r="AX45" s="5400"/>
      <c r="AY45" s="5314"/>
      <c r="AZ45" s="5345" t="s">
        <v>486</v>
      </c>
      <c r="BA45" s="5344" t="s">
        <v>487</v>
      </c>
      <c r="BB45" s="5357"/>
      <c r="BC45" s="5358"/>
      <c r="BD45" s="5317"/>
      <c r="BE45" s="5433"/>
      <c r="BF45" s="5318"/>
      <c r="BG45" s="5400"/>
      <c r="BH45" s="5314"/>
      <c r="BI45" s="5345" t="s">
        <v>486</v>
      </c>
      <c r="BJ45" s="5344" t="s">
        <v>487</v>
      </c>
      <c r="BK45" s="5357"/>
      <c r="BL45" s="5358"/>
      <c r="BM45" s="5317"/>
      <c r="BN45" s="5433"/>
      <c r="BO45" s="5318"/>
      <c r="BP45" s="5400"/>
      <c r="BQ45" s="5314"/>
      <c r="BR45" s="5345" t="s">
        <v>486</v>
      </c>
      <c r="BS45" s="5344" t="s">
        <v>487</v>
      </c>
      <c r="BT45" s="5357"/>
      <c r="BU45" s="5358"/>
      <c r="BV45" s="5317"/>
      <c r="BW45" s="5433"/>
      <c r="BX45" s="5318"/>
      <c r="BY45" s="5400"/>
      <c r="BZ45" s="5314"/>
      <c r="CA45" s="5345" t="s">
        <v>486</v>
      </c>
      <c r="CB45" s="5344" t="s">
        <v>487</v>
      </c>
      <c r="CC45" s="5357"/>
      <c r="CD45" s="5358"/>
      <c r="CE45" s="5317"/>
      <c r="CF45" s="5433"/>
      <c r="CG45" s="5318"/>
      <c r="CH45" s="5400"/>
      <c r="CI45" s="5314"/>
      <c r="CJ45" s="5345" t="s">
        <v>486</v>
      </c>
      <c r="CK45" s="5344" t="s">
        <v>487</v>
      </c>
      <c r="CL45" s="5357"/>
      <c r="CM45" s="5358"/>
      <c r="CN45" s="5317"/>
      <c r="CO45" s="5433"/>
      <c r="CP45" s="5318"/>
      <c r="CQ45" s="5400"/>
      <c r="CR45" s="5314"/>
      <c r="CS45" s="5345" t="s">
        <v>486</v>
      </c>
      <c r="CT45" s="5344" t="s">
        <v>487</v>
      </c>
      <c r="CU45" s="5357"/>
      <c r="CV45" s="5358"/>
      <c r="CW45" s="5317"/>
      <c r="CX45" s="5433"/>
      <c r="CY45" s="5318"/>
      <c r="CZ45" s="5400"/>
      <c r="DA45" s="5314"/>
      <c r="DB45" s="5345" t="s">
        <v>486</v>
      </c>
      <c r="DC45" s="5344" t="s">
        <v>487</v>
      </c>
      <c r="DD45" s="5357"/>
      <c r="DE45" s="5358"/>
      <c r="DF45" s="5317"/>
      <c r="DG45" s="5433"/>
      <c r="DH45" s="5318"/>
      <c r="DI45" s="5400"/>
      <c r="DJ45" s="5314"/>
      <c r="DK45" s="5345" t="s">
        <v>486</v>
      </c>
      <c r="DL45" s="5344" t="s">
        <v>487</v>
      </c>
      <c r="DM45" s="5357"/>
      <c r="DN45" s="5358"/>
      <c r="DO45" s="5317"/>
      <c r="DP45" s="5433"/>
      <c r="DQ45" s="5318"/>
      <c r="DR45" s="5412"/>
      <c r="DS45" s="5403"/>
      <c r="DT45" s="5235"/>
      <c r="DZ45" s="1081">
        <v>14</v>
      </c>
    </row>
    <row r="46" spans="1:130" ht="27.4" customHeight="1">
      <c r="R46" s="312"/>
      <c r="S46" s="312"/>
      <c r="T46" s="312"/>
      <c r="U46" s="5395"/>
      <c r="V46" s="5339"/>
      <c r="W46" s="960"/>
      <c r="X46" s="5314"/>
      <c r="Y46" s="5431"/>
      <c r="Z46" s="5345" t="s">
        <v>488</v>
      </c>
      <c r="AA46" s="5344" t="s">
        <v>489</v>
      </c>
      <c r="AB46" s="5358"/>
      <c r="AC46" s="5345" t="s">
        <v>470</v>
      </c>
      <c r="AD46" s="5349" t="s">
        <v>471</v>
      </c>
      <c r="AE46" s="5347"/>
      <c r="AF46" s="5400"/>
      <c r="AG46" s="5314"/>
      <c r="AH46" s="5431"/>
      <c r="AI46" s="5345" t="s">
        <v>488</v>
      </c>
      <c r="AJ46" s="5344" t="s">
        <v>489</v>
      </c>
      <c r="AK46" s="5358"/>
      <c r="AL46" s="5345" t="s">
        <v>470</v>
      </c>
      <c r="AM46" s="5349" t="s">
        <v>471</v>
      </c>
      <c r="AN46" s="5347"/>
      <c r="AO46" s="5400"/>
      <c r="AP46" s="5314"/>
      <c r="AQ46" s="5431"/>
      <c r="AR46" s="5345" t="s">
        <v>488</v>
      </c>
      <c r="AS46" s="5344" t="s">
        <v>489</v>
      </c>
      <c r="AT46" s="5358"/>
      <c r="AU46" s="5345" t="s">
        <v>470</v>
      </c>
      <c r="AV46" s="5349" t="s">
        <v>471</v>
      </c>
      <c r="AW46" s="5347"/>
      <c r="AX46" s="5400"/>
      <c r="AY46" s="5314"/>
      <c r="AZ46" s="5431"/>
      <c r="BA46" s="5345" t="s">
        <v>488</v>
      </c>
      <c r="BB46" s="5344" t="s">
        <v>489</v>
      </c>
      <c r="BC46" s="5358"/>
      <c r="BD46" s="5345" t="s">
        <v>470</v>
      </c>
      <c r="BE46" s="5349" t="s">
        <v>471</v>
      </c>
      <c r="BF46" s="5347"/>
      <c r="BG46" s="5400"/>
      <c r="BH46" s="5314"/>
      <c r="BI46" s="5431"/>
      <c r="BJ46" s="5345" t="s">
        <v>488</v>
      </c>
      <c r="BK46" s="5344" t="s">
        <v>489</v>
      </c>
      <c r="BL46" s="5358"/>
      <c r="BM46" s="5345" t="s">
        <v>470</v>
      </c>
      <c r="BN46" s="5349" t="s">
        <v>471</v>
      </c>
      <c r="BO46" s="5347"/>
      <c r="BP46" s="5400"/>
      <c r="BQ46" s="5314"/>
      <c r="BR46" s="5431"/>
      <c r="BS46" s="5345" t="s">
        <v>488</v>
      </c>
      <c r="BT46" s="5344" t="s">
        <v>489</v>
      </c>
      <c r="BU46" s="5358"/>
      <c r="BV46" s="5345" t="s">
        <v>470</v>
      </c>
      <c r="BW46" s="5349" t="s">
        <v>471</v>
      </c>
      <c r="BX46" s="5347"/>
      <c r="BY46" s="5400"/>
      <c r="BZ46" s="5314"/>
      <c r="CA46" s="5431"/>
      <c r="CB46" s="5345" t="s">
        <v>488</v>
      </c>
      <c r="CC46" s="5344" t="s">
        <v>489</v>
      </c>
      <c r="CD46" s="5358"/>
      <c r="CE46" s="5345" t="s">
        <v>470</v>
      </c>
      <c r="CF46" s="5349" t="s">
        <v>471</v>
      </c>
      <c r="CG46" s="5347"/>
      <c r="CH46" s="5400"/>
      <c r="CI46" s="5314"/>
      <c r="CJ46" s="5431"/>
      <c r="CK46" s="5345" t="s">
        <v>488</v>
      </c>
      <c r="CL46" s="5344" t="s">
        <v>489</v>
      </c>
      <c r="CM46" s="5358"/>
      <c r="CN46" s="5345" t="s">
        <v>470</v>
      </c>
      <c r="CO46" s="5349" t="s">
        <v>471</v>
      </c>
      <c r="CP46" s="5347"/>
      <c r="CQ46" s="5400"/>
      <c r="CR46" s="5314"/>
      <c r="CS46" s="5431"/>
      <c r="CT46" s="5345" t="s">
        <v>488</v>
      </c>
      <c r="CU46" s="5344" t="s">
        <v>489</v>
      </c>
      <c r="CV46" s="5358"/>
      <c r="CW46" s="5345" t="s">
        <v>470</v>
      </c>
      <c r="CX46" s="5349" t="s">
        <v>471</v>
      </c>
      <c r="CY46" s="5347"/>
      <c r="CZ46" s="5400"/>
      <c r="DA46" s="5314"/>
      <c r="DB46" s="5431"/>
      <c r="DC46" s="5345" t="s">
        <v>488</v>
      </c>
      <c r="DD46" s="5344" t="s">
        <v>489</v>
      </c>
      <c r="DE46" s="5358"/>
      <c r="DF46" s="5345" t="s">
        <v>470</v>
      </c>
      <c r="DG46" s="5349" t="s">
        <v>471</v>
      </c>
      <c r="DH46" s="5347"/>
      <c r="DI46" s="5400"/>
      <c r="DJ46" s="5314"/>
      <c r="DK46" s="5431"/>
      <c r="DL46" s="5345" t="s">
        <v>488</v>
      </c>
      <c r="DM46" s="5344" t="s">
        <v>489</v>
      </c>
      <c r="DN46" s="5358"/>
      <c r="DO46" s="5345" t="s">
        <v>470</v>
      </c>
      <c r="DP46" s="5349" t="s">
        <v>471</v>
      </c>
      <c r="DQ46" s="5347"/>
      <c r="DR46" s="5412"/>
      <c r="DS46" s="5403"/>
      <c r="DT46" s="5235"/>
      <c r="DZ46" s="1081">
        <v>26</v>
      </c>
    </row>
    <row r="47" spans="1:130" ht="65.25" customHeight="1">
      <c r="A47" s="1185"/>
      <c r="B47" s="1185" t="s">
        <v>137</v>
      </c>
      <c r="C47" s="1185" t="s">
        <v>138</v>
      </c>
      <c r="D47" s="1185" t="s">
        <v>139</v>
      </c>
      <c r="E47" s="1236" t="s">
        <v>461</v>
      </c>
      <c r="F47" s="1236" t="s">
        <v>462</v>
      </c>
      <c r="G47" s="1236" t="s">
        <v>463</v>
      </c>
      <c r="H47" s="1236" t="s">
        <v>464</v>
      </c>
      <c r="I47" s="1236" t="s">
        <v>465</v>
      </c>
      <c r="J47" s="1236" t="s">
        <v>466</v>
      </c>
      <c r="K47" s="1236" t="s">
        <v>467</v>
      </c>
      <c r="L47" s="1236" t="s">
        <v>490</v>
      </c>
      <c r="M47" s="1236" t="s">
        <v>442</v>
      </c>
      <c r="R47" s="312"/>
      <c r="S47" s="312"/>
      <c r="T47" s="312"/>
      <c r="U47" s="5395"/>
      <c r="V47" s="5339"/>
      <c r="W47" s="239"/>
      <c r="X47" s="5317"/>
      <c r="Y47" s="5346"/>
      <c r="Z47" s="5346"/>
      <c r="AA47" s="1148" t="s">
        <v>491</v>
      </c>
      <c r="AB47" s="1148" t="s">
        <v>492</v>
      </c>
      <c r="AC47" s="5346"/>
      <c r="AD47" s="5350"/>
      <c r="AE47" s="5348"/>
      <c r="AF47" s="5401"/>
      <c r="AG47" s="5317"/>
      <c r="AH47" s="5346"/>
      <c r="AI47" s="5346"/>
      <c r="AJ47" s="1148" t="s">
        <v>491</v>
      </c>
      <c r="AK47" s="1148" t="s">
        <v>492</v>
      </c>
      <c r="AL47" s="5346"/>
      <c r="AM47" s="5350"/>
      <c r="AN47" s="5348"/>
      <c r="AO47" s="5401"/>
      <c r="AP47" s="5317"/>
      <c r="AQ47" s="5346"/>
      <c r="AR47" s="5346"/>
      <c r="AS47" s="2022" t="s">
        <v>491</v>
      </c>
      <c r="AT47" s="2022" t="s">
        <v>492</v>
      </c>
      <c r="AU47" s="5346"/>
      <c r="AV47" s="5350"/>
      <c r="AW47" s="5348"/>
      <c r="AX47" s="5401"/>
      <c r="AY47" s="5317"/>
      <c r="AZ47" s="5346"/>
      <c r="BA47" s="5346"/>
      <c r="BB47" s="2022" t="s">
        <v>491</v>
      </c>
      <c r="BC47" s="2022" t="s">
        <v>492</v>
      </c>
      <c r="BD47" s="5346"/>
      <c r="BE47" s="5350"/>
      <c r="BF47" s="5348"/>
      <c r="BG47" s="5401"/>
      <c r="BH47" s="5317"/>
      <c r="BI47" s="5346"/>
      <c r="BJ47" s="5346"/>
      <c r="BK47" s="2022" t="s">
        <v>491</v>
      </c>
      <c r="BL47" s="2022" t="s">
        <v>492</v>
      </c>
      <c r="BM47" s="5346"/>
      <c r="BN47" s="5350"/>
      <c r="BO47" s="5348"/>
      <c r="BP47" s="5401"/>
      <c r="BQ47" s="5317"/>
      <c r="BR47" s="5346"/>
      <c r="BS47" s="5346"/>
      <c r="BT47" s="2022" t="s">
        <v>491</v>
      </c>
      <c r="BU47" s="2022" t="s">
        <v>492</v>
      </c>
      <c r="BV47" s="5346"/>
      <c r="BW47" s="5350"/>
      <c r="BX47" s="5348"/>
      <c r="BY47" s="5401"/>
      <c r="BZ47" s="5317"/>
      <c r="CA47" s="5346"/>
      <c r="CB47" s="5346"/>
      <c r="CC47" s="2022" t="s">
        <v>491</v>
      </c>
      <c r="CD47" s="2022" t="s">
        <v>492</v>
      </c>
      <c r="CE47" s="5346"/>
      <c r="CF47" s="5350"/>
      <c r="CG47" s="5348"/>
      <c r="CH47" s="5401"/>
      <c r="CI47" s="5317"/>
      <c r="CJ47" s="5346"/>
      <c r="CK47" s="5346"/>
      <c r="CL47" s="2022" t="s">
        <v>491</v>
      </c>
      <c r="CM47" s="2022" t="s">
        <v>492</v>
      </c>
      <c r="CN47" s="5346"/>
      <c r="CO47" s="5350"/>
      <c r="CP47" s="5348"/>
      <c r="CQ47" s="5401"/>
      <c r="CR47" s="5317"/>
      <c r="CS47" s="5346"/>
      <c r="CT47" s="5346"/>
      <c r="CU47" s="2022" t="s">
        <v>491</v>
      </c>
      <c r="CV47" s="2022" t="s">
        <v>492</v>
      </c>
      <c r="CW47" s="5346"/>
      <c r="CX47" s="5350"/>
      <c r="CY47" s="5348"/>
      <c r="CZ47" s="5401"/>
      <c r="DA47" s="5317"/>
      <c r="DB47" s="5346"/>
      <c r="DC47" s="5346"/>
      <c r="DD47" s="2022" t="s">
        <v>491</v>
      </c>
      <c r="DE47" s="2022" t="s">
        <v>492</v>
      </c>
      <c r="DF47" s="5346"/>
      <c r="DG47" s="5350"/>
      <c r="DH47" s="5348"/>
      <c r="DI47" s="5401"/>
      <c r="DJ47" s="5317"/>
      <c r="DK47" s="5346"/>
      <c r="DL47" s="5346"/>
      <c r="DM47" s="2022" t="s">
        <v>491</v>
      </c>
      <c r="DN47" s="2022" t="s">
        <v>492</v>
      </c>
      <c r="DO47" s="5346"/>
      <c r="DP47" s="5350"/>
      <c r="DQ47" s="5348"/>
      <c r="DR47" s="5413"/>
      <c r="DS47" s="5404"/>
      <c r="DT47" s="5235"/>
      <c r="DZ47" s="1081">
        <v>62</v>
      </c>
    </row>
    <row r="48" spans="1:130"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111</v>
      </c>
      <c r="V48" s="1181" t="s">
        <v>112</v>
      </c>
      <c r="W48" s="1171" t="str">
        <f ca="1">OFFSET(W48,0,-1)</f>
        <v>2</v>
      </c>
      <c r="X48" s="1261">
        <f ca="1">OFFSET(X48,0,-1)+1</f>
        <v>3</v>
      </c>
      <c r="Y48" s="1267"/>
      <c r="Z48" s="1267"/>
      <c r="AA48" s="1267">
        <f ca="1">OFFSET(AA48,0,-1)+1</f>
        <v>1</v>
      </c>
      <c r="AB48" s="1267">
        <f ca="1">OFFSET(AB48,0,-1)+1</f>
        <v>2</v>
      </c>
      <c r="AC48" s="1261">
        <f ca="1">OFFSET(AC48,0,-1)+1</f>
        <v>3</v>
      </c>
      <c r="AD48" s="5392">
        <f ca="1">OFFSET(AD48,0,-1)+1</f>
        <v>4</v>
      </c>
      <c r="AE48" s="5392"/>
      <c r="AF48" s="1261">
        <f ca="1">OFFSET(AF48,0,-2)+1</f>
        <v>5</v>
      </c>
      <c r="AG48" s="1261">
        <f ca="1">OFFSET(AG48,0,-1)+1</f>
        <v>6</v>
      </c>
      <c r="AH48" s="1261"/>
      <c r="AI48" s="1261"/>
      <c r="AJ48" s="1261">
        <f ca="1">OFFSET(AJ48,0,-1)+1</f>
        <v>1</v>
      </c>
      <c r="AK48" s="1261">
        <f ca="1">OFFSET(AK48,0,-1)+1</f>
        <v>2</v>
      </c>
      <c r="AL48" s="1261">
        <f ca="1">OFFSET(AL48,0,-1)+1</f>
        <v>3</v>
      </c>
      <c r="AM48" s="5392">
        <f ca="1">OFFSET(AM48,0,-1)+1</f>
        <v>4</v>
      </c>
      <c r="AN48" s="5392"/>
      <c r="AO48" s="1261">
        <f ca="1">OFFSET(AO48,0,-2)+1</f>
        <v>5</v>
      </c>
      <c r="AP48" s="2011">
        <f ca="1">OFFSET(AP48,0,-1)+1</f>
        <v>6</v>
      </c>
      <c r="AQ48" s="1267"/>
      <c r="AR48" s="1267"/>
      <c r="AS48" s="1267">
        <f ca="1">OFFSET(AS48,0,-1)+1</f>
        <v>1</v>
      </c>
      <c r="AT48" s="1267">
        <f ca="1">OFFSET(AT48,0,-1)+1</f>
        <v>2</v>
      </c>
      <c r="AU48" s="2011">
        <f ca="1">OFFSET(AU48,0,-1)+1</f>
        <v>3</v>
      </c>
      <c r="AV48" s="5392">
        <f ca="1">OFFSET(AV48,0,-1)+1</f>
        <v>4</v>
      </c>
      <c r="AW48" s="5392"/>
      <c r="AX48" s="2011">
        <f ca="1">OFFSET(AX48,0,-2)+1</f>
        <v>5</v>
      </c>
      <c r="AY48" s="2011">
        <f ca="1">OFFSET(AY48,0,-1)+1</f>
        <v>6</v>
      </c>
      <c r="AZ48" s="1267"/>
      <c r="BA48" s="1267"/>
      <c r="BB48" s="1267">
        <f ca="1">OFFSET(BB48,0,-1)+1</f>
        <v>1</v>
      </c>
      <c r="BC48" s="1267">
        <f ca="1">OFFSET(BC48,0,-1)+1</f>
        <v>2</v>
      </c>
      <c r="BD48" s="2011">
        <f ca="1">OFFSET(BD48,0,-1)+1</f>
        <v>3</v>
      </c>
      <c r="BE48" s="5392">
        <f ca="1">OFFSET(BE48,0,-1)+1</f>
        <v>4</v>
      </c>
      <c r="BF48" s="5392"/>
      <c r="BG48" s="2011">
        <f ca="1">OFFSET(BG48,0,-2)+1</f>
        <v>5</v>
      </c>
      <c r="BH48" s="2011">
        <f ca="1">OFFSET(BH48,0,-1)+1</f>
        <v>6</v>
      </c>
      <c r="BI48" s="1267"/>
      <c r="BJ48" s="1267"/>
      <c r="BK48" s="1267">
        <f ca="1">OFFSET(BK48,0,-1)+1</f>
        <v>1</v>
      </c>
      <c r="BL48" s="1267">
        <f ca="1">OFFSET(BL48,0,-1)+1</f>
        <v>2</v>
      </c>
      <c r="BM48" s="2011">
        <f ca="1">OFFSET(BM48,0,-1)+1</f>
        <v>3</v>
      </c>
      <c r="BN48" s="5392">
        <f ca="1">OFFSET(BN48,0,-1)+1</f>
        <v>4</v>
      </c>
      <c r="BO48" s="5392"/>
      <c r="BP48" s="2011">
        <f ca="1">OFFSET(BP48,0,-2)+1</f>
        <v>5</v>
      </c>
      <c r="BQ48" s="2011">
        <f ca="1">OFFSET(BQ48,0,-1)+1</f>
        <v>6</v>
      </c>
      <c r="BR48" s="1267"/>
      <c r="BS48" s="1267"/>
      <c r="BT48" s="1267">
        <f ca="1">OFFSET(BT48,0,-1)+1</f>
        <v>1</v>
      </c>
      <c r="BU48" s="1267">
        <f ca="1">OFFSET(BU48,0,-1)+1</f>
        <v>2</v>
      </c>
      <c r="BV48" s="2011">
        <f ca="1">OFFSET(BV48,0,-1)+1</f>
        <v>3</v>
      </c>
      <c r="BW48" s="5392">
        <f ca="1">OFFSET(BW48,0,-1)+1</f>
        <v>4</v>
      </c>
      <c r="BX48" s="5392"/>
      <c r="BY48" s="2011">
        <f ca="1">OFFSET(BY48,0,-2)+1</f>
        <v>5</v>
      </c>
      <c r="BZ48" s="2011">
        <f ca="1">OFFSET(BZ48,0,-1)+1</f>
        <v>6</v>
      </c>
      <c r="CA48" s="1267"/>
      <c r="CB48" s="1267"/>
      <c r="CC48" s="1267">
        <f ca="1">OFFSET(CC48,0,-1)+1</f>
        <v>1</v>
      </c>
      <c r="CD48" s="1267">
        <f ca="1">OFFSET(CD48,0,-1)+1</f>
        <v>2</v>
      </c>
      <c r="CE48" s="2011">
        <f ca="1">OFFSET(CE48,0,-1)+1</f>
        <v>3</v>
      </c>
      <c r="CF48" s="5392">
        <f ca="1">OFFSET(CF48,0,-1)+1</f>
        <v>4</v>
      </c>
      <c r="CG48" s="5392"/>
      <c r="CH48" s="2011">
        <f ca="1">OFFSET(CH48,0,-2)+1</f>
        <v>5</v>
      </c>
      <c r="CI48" s="2011">
        <f ca="1">OFFSET(CI48,0,-1)+1</f>
        <v>6</v>
      </c>
      <c r="CJ48" s="1267"/>
      <c r="CK48" s="1267"/>
      <c r="CL48" s="1267">
        <f ca="1">OFFSET(CL48,0,-1)+1</f>
        <v>1</v>
      </c>
      <c r="CM48" s="1267">
        <f ca="1">OFFSET(CM48,0,-1)+1</f>
        <v>2</v>
      </c>
      <c r="CN48" s="2011">
        <f ca="1">OFFSET(CN48,0,-1)+1</f>
        <v>3</v>
      </c>
      <c r="CO48" s="5392">
        <f ca="1">OFFSET(CO48,0,-1)+1</f>
        <v>4</v>
      </c>
      <c r="CP48" s="5392"/>
      <c r="CQ48" s="2011">
        <f ca="1">OFFSET(CQ48,0,-2)+1</f>
        <v>5</v>
      </c>
      <c r="CR48" s="2011">
        <f ca="1">OFFSET(CR48,0,-1)+1</f>
        <v>6</v>
      </c>
      <c r="CS48" s="1267"/>
      <c r="CT48" s="1267"/>
      <c r="CU48" s="1267">
        <f ca="1">OFFSET(CU48,0,-1)+1</f>
        <v>1</v>
      </c>
      <c r="CV48" s="1267">
        <f ca="1">OFFSET(CV48,0,-1)+1</f>
        <v>2</v>
      </c>
      <c r="CW48" s="2011">
        <f ca="1">OFFSET(CW48,0,-1)+1</f>
        <v>3</v>
      </c>
      <c r="CX48" s="5392">
        <f ca="1">OFFSET(CX48,0,-1)+1</f>
        <v>4</v>
      </c>
      <c r="CY48" s="5392"/>
      <c r="CZ48" s="2011">
        <f ca="1">OFFSET(CZ48,0,-2)+1</f>
        <v>5</v>
      </c>
      <c r="DA48" s="2011">
        <f ca="1">OFFSET(DA48,0,-1)+1</f>
        <v>6</v>
      </c>
      <c r="DB48" s="1267"/>
      <c r="DC48" s="1267"/>
      <c r="DD48" s="1267">
        <f ca="1">OFFSET(DD48,0,-1)+1</f>
        <v>1</v>
      </c>
      <c r="DE48" s="1267">
        <f ca="1">OFFSET(DE48,0,-1)+1</f>
        <v>2</v>
      </c>
      <c r="DF48" s="2011">
        <f ca="1">OFFSET(DF48,0,-1)+1</f>
        <v>3</v>
      </c>
      <c r="DG48" s="5392">
        <f ca="1">OFFSET(DG48,0,-1)+1</f>
        <v>4</v>
      </c>
      <c r="DH48" s="5392"/>
      <c r="DI48" s="2011">
        <f ca="1">OFFSET(DI48,0,-2)+1</f>
        <v>5</v>
      </c>
      <c r="DJ48" s="2011">
        <f ca="1">OFFSET(DJ48,0,-1)+1</f>
        <v>6</v>
      </c>
      <c r="DK48" s="1267"/>
      <c r="DL48" s="1267"/>
      <c r="DM48" s="1267">
        <f ca="1">OFFSET(DM48,0,-1)+1</f>
        <v>1</v>
      </c>
      <c r="DN48" s="1267">
        <f ca="1">OFFSET(DN48,0,-1)+1</f>
        <v>2</v>
      </c>
      <c r="DO48" s="2011">
        <f ca="1">OFFSET(DO48,0,-1)+1</f>
        <v>3</v>
      </c>
      <c r="DP48" s="5392">
        <f ca="1">OFFSET(DP48,0,-1)+1</f>
        <v>4</v>
      </c>
      <c r="DQ48" s="5392"/>
      <c r="DR48" s="5167">
        <f ca="1">OFFSET(DR48,0,-2)+1</f>
        <v>5</v>
      </c>
      <c r="DS48" s="1171">
        <f ca="1">OFFSET(DS48,0,-1)</f>
        <v>5</v>
      </c>
      <c r="DT48" s="1261">
        <f ca="1">OFFSET(DT48,0,-1)+1</f>
        <v>6</v>
      </c>
      <c r="DU48" s="447"/>
      <c r="DV48" s="447"/>
      <c r="DW48" s="447"/>
      <c r="DX48" s="447"/>
      <c r="DY48" s="447"/>
      <c r="DZ48" s="432">
        <v>0</v>
      </c>
    </row>
    <row r="49" spans="1:130" ht="21.95" customHeight="1">
      <c r="A49" s="1193" t="s">
        <v>201</v>
      </c>
      <c r="B49" s="1193"/>
      <c r="C49" s="1193"/>
      <c r="D49" s="1193"/>
      <c r="E49" s="5415">
        <v>1</v>
      </c>
      <c r="F49" s="1193"/>
      <c r="G49" s="1193"/>
      <c r="H49" s="1193"/>
      <c r="I49" s="1193"/>
      <c r="J49" s="1193"/>
      <c r="K49" s="1193"/>
      <c r="L49" s="1193"/>
      <c r="M49" s="1236"/>
      <c r="N49" s="624"/>
      <c r="O49" s="624"/>
      <c r="P49" s="624"/>
      <c r="Q49" s="297"/>
      <c r="R49" s="296"/>
      <c r="S49" s="296"/>
      <c r="T49" s="291"/>
      <c r="U49" s="1262">
        <f>INDEX(PT_DIFFERENTIATION_NUM_NTAR,MATCH(A49,PT_DIFFERENTIATION_NTAR_ID,0))</f>
        <v>1</v>
      </c>
      <c r="V49" s="235" t="s">
        <v>125</v>
      </c>
      <c r="W49" s="237"/>
      <c r="X49" s="5373"/>
      <c r="Y49" s="5374"/>
      <c r="Z49" s="5374"/>
      <c r="AA49" s="5374"/>
      <c r="AB49" s="5374"/>
      <c r="AC49" s="5374"/>
      <c r="AD49" s="5374"/>
      <c r="AE49" s="5374"/>
      <c r="AF49" s="5375"/>
      <c r="AG49" s="5373" t="str">
        <f>INDEX(PT_DIFFERENTIATION_NTAR,MATCH(A49,PT_DIFFERENTIATION_NTAR_ID,0))</f>
        <v>Тариф на горячую воду (горячее водоснабжение), поставляемую ПАО "ТГК-1" в открытых системах теплоснабжения потребителям, расположенным на территории Санкт-Петербурга</v>
      </c>
      <c r="AH49" s="5374"/>
      <c r="AI49" s="5374"/>
      <c r="AJ49" s="5374"/>
      <c r="AK49" s="5374"/>
      <c r="AL49" s="5374"/>
      <c r="AM49" s="5374"/>
      <c r="AN49" s="5374"/>
      <c r="AO49" s="5374"/>
      <c r="AP49" s="5373"/>
      <c r="AQ49" s="5374"/>
      <c r="AR49" s="5374"/>
      <c r="AS49" s="5374"/>
      <c r="AT49" s="5374"/>
      <c r="AU49" s="5374"/>
      <c r="AV49" s="5374"/>
      <c r="AW49" s="5374"/>
      <c r="AX49" s="5375"/>
      <c r="AY49" s="5373"/>
      <c r="AZ49" s="5374"/>
      <c r="BA49" s="5374"/>
      <c r="BB49" s="5374"/>
      <c r="BC49" s="5374"/>
      <c r="BD49" s="5374"/>
      <c r="BE49" s="5374"/>
      <c r="BF49" s="5374"/>
      <c r="BG49" s="5375"/>
      <c r="BH49" s="5373"/>
      <c r="BI49" s="5374"/>
      <c r="BJ49" s="5374"/>
      <c r="BK49" s="5374"/>
      <c r="BL49" s="5374"/>
      <c r="BM49" s="5374"/>
      <c r="BN49" s="5374"/>
      <c r="BO49" s="5374"/>
      <c r="BP49" s="5375"/>
      <c r="BQ49" s="5373"/>
      <c r="BR49" s="5374"/>
      <c r="BS49" s="5374"/>
      <c r="BT49" s="5374"/>
      <c r="BU49" s="5374"/>
      <c r="BV49" s="5374"/>
      <c r="BW49" s="5374"/>
      <c r="BX49" s="5374"/>
      <c r="BY49" s="5375"/>
      <c r="BZ49" s="5373"/>
      <c r="CA49" s="5374"/>
      <c r="CB49" s="5374"/>
      <c r="CC49" s="5374"/>
      <c r="CD49" s="5374"/>
      <c r="CE49" s="5374"/>
      <c r="CF49" s="5374"/>
      <c r="CG49" s="5374"/>
      <c r="CH49" s="5375"/>
      <c r="CI49" s="5373"/>
      <c r="CJ49" s="5374"/>
      <c r="CK49" s="5374"/>
      <c r="CL49" s="5374"/>
      <c r="CM49" s="5374"/>
      <c r="CN49" s="5374"/>
      <c r="CO49" s="5374"/>
      <c r="CP49" s="5374"/>
      <c r="CQ49" s="5375"/>
      <c r="CR49" s="5373"/>
      <c r="CS49" s="5374"/>
      <c r="CT49" s="5374"/>
      <c r="CU49" s="5374"/>
      <c r="CV49" s="5374"/>
      <c r="CW49" s="5374"/>
      <c r="CX49" s="5374"/>
      <c r="CY49" s="5374"/>
      <c r="CZ49" s="5375"/>
      <c r="DA49" s="5373"/>
      <c r="DB49" s="5374"/>
      <c r="DC49" s="5374"/>
      <c r="DD49" s="5374"/>
      <c r="DE49" s="5374"/>
      <c r="DF49" s="5374"/>
      <c r="DG49" s="5374"/>
      <c r="DH49" s="5374"/>
      <c r="DI49" s="5375"/>
      <c r="DJ49" s="5373"/>
      <c r="DK49" s="5374"/>
      <c r="DL49" s="5374"/>
      <c r="DM49" s="5374"/>
      <c r="DN49" s="5374"/>
      <c r="DO49" s="5374"/>
      <c r="DP49" s="5374"/>
      <c r="DQ49" s="5374"/>
      <c r="DR49" s="5376"/>
      <c r="DS49" s="5375"/>
      <c r="DT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V49" s="436"/>
      <c r="DW49" s="436" t="str">
        <f t="shared" ref="DW49:DW61" si="2">IF(V49="","",V49)</f>
        <v>Наименование тарифа</v>
      </c>
      <c r="DX49" s="436"/>
      <c r="DY49" s="436"/>
      <c r="DZ49" s="1081">
        <v>21</v>
      </c>
    </row>
    <row r="50" spans="1:130" ht="21.95" customHeight="1">
      <c r="A50" s="1193" t="s">
        <v>201</v>
      </c>
      <c r="B50" s="1193" t="s">
        <v>202</v>
      </c>
      <c r="C50" s="1193"/>
      <c r="D50" s="1193"/>
      <c r="E50" s="5416"/>
      <c r="F50" s="5415">
        <v>1</v>
      </c>
      <c r="G50" s="1193"/>
      <c r="H50" s="1193"/>
      <c r="I50" s="1193"/>
      <c r="J50" s="1193"/>
      <c r="K50" s="1193"/>
      <c r="L50" s="1193"/>
      <c r="M50" s="1236"/>
      <c r="N50" s="624"/>
      <c r="O50" s="624"/>
      <c r="P50" s="624"/>
      <c r="Q50" s="1258"/>
      <c r="R50" s="288"/>
      <c r="S50" s="445"/>
      <c r="T50" s="289"/>
      <c r="U50" s="1262" t="str">
        <f>INDEX(PT_DIFFERENTIATION_NUM_TER,MATCH(B50,PT_DIFFERENTIATION_TER_ID,0))</f>
        <v>1.1</v>
      </c>
      <c r="V50" s="245" t="s">
        <v>424</v>
      </c>
      <c r="W50" s="237"/>
      <c r="X50" s="5373"/>
      <c r="Y50" s="5374"/>
      <c r="Z50" s="5374"/>
      <c r="AA50" s="5374"/>
      <c r="AB50" s="5374"/>
      <c r="AC50" s="5374"/>
      <c r="AD50" s="5374"/>
      <c r="AE50" s="5374"/>
      <c r="AF50" s="5375"/>
      <c r="AG50" s="5373" t="str">
        <f>INDEX(PT_DIFFERENTIATION_TER,MATCH(B50,PT_DIFFERENTIATION_TER_ID,0))</f>
        <v>без дифференциации</v>
      </c>
      <c r="AH50" s="5374"/>
      <c r="AI50" s="5374"/>
      <c r="AJ50" s="5374"/>
      <c r="AK50" s="5374"/>
      <c r="AL50" s="5374"/>
      <c r="AM50" s="5374"/>
      <c r="AN50" s="5374"/>
      <c r="AO50" s="5374"/>
      <c r="AP50" s="5373"/>
      <c r="AQ50" s="5374"/>
      <c r="AR50" s="5374"/>
      <c r="AS50" s="5374"/>
      <c r="AT50" s="5374"/>
      <c r="AU50" s="5374"/>
      <c r="AV50" s="5374"/>
      <c r="AW50" s="5374"/>
      <c r="AX50" s="5375"/>
      <c r="AY50" s="5373"/>
      <c r="AZ50" s="5374"/>
      <c r="BA50" s="5374"/>
      <c r="BB50" s="5374"/>
      <c r="BC50" s="5374"/>
      <c r="BD50" s="5374"/>
      <c r="BE50" s="5374"/>
      <c r="BF50" s="5374"/>
      <c r="BG50" s="5375"/>
      <c r="BH50" s="5373"/>
      <c r="BI50" s="5374"/>
      <c r="BJ50" s="5374"/>
      <c r="BK50" s="5374"/>
      <c r="BL50" s="5374"/>
      <c r="BM50" s="5374"/>
      <c r="BN50" s="5374"/>
      <c r="BO50" s="5374"/>
      <c r="BP50" s="5375"/>
      <c r="BQ50" s="5373"/>
      <c r="BR50" s="5374"/>
      <c r="BS50" s="5374"/>
      <c r="BT50" s="5374"/>
      <c r="BU50" s="5374"/>
      <c r="BV50" s="5374"/>
      <c r="BW50" s="5374"/>
      <c r="BX50" s="5374"/>
      <c r="BY50" s="5375"/>
      <c r="BZ50" s="5373"/>
      <c r="CA50" s="5374"/>
      <c r="CB50" s="5374"/>
      <c r="CC50" s="5374"/>
      <c r="CD50" s="5374"/>
      <c r="CE50" s="5374"/>
      <c r="CF50" s="5374"/>
      <c r="CG50" s="5374"/>
      <c r="CH50" s="5375"/>
      <c r="CI50" s="5373"/>
      <c r="CJ50" s="5374"/>
      <c r="CK50" s="5374"/>
      <c r="CL50" s="5374"/>
      <c r="CM50" s="5374"/>
      <c r="CN50" s="5374"/>
      <c r="CO50" s="5374"/>
      <c r="CP50" s="5374"/>
      <c r="CQ50" s="5375"/>
      <c r="CR50" s="5373"/>
      <c r="CS50" s="5374"/>
      <c r="CT50" s="5374"/>
      <c r="CU50" s="5374"/>
      <c r="CV50" s="5374"/>
      <c r="CW50" s="5374"/>
      <c r="CX50" s="5374"/>
      <c r="CY50" s="5374"/>
      <c r="CZ50" s="5375"/>
      <c r="DA50" s="5373"/>
      <c r="DB50" s="5374"/>
      <c r="DC50" s="5374"/>
      <c r="DD50" s="5374"/>
      <c r="DE50" s="5374"/>
      <c r="DF50" s="5374"/>
      <c r="DG50" s="5374"/>
      <c r="DH50" s="5374"/>
      <c r="DI50" s="5375"/>
      <c r="DJ50" s="5373"/>
      <c r="DK50" s="5374"/>
      <c r="DL50" s="5374"/>
      <c r="DM50" s="5374"/>
      <c r="DN50" s="5374"/>
      <c r="DO50" s="5374"/>
      <c r="DP50" s="5374"/>
      <c r="DQ50" s="5374"/>
      <c r="DR50" s="5376"/>
      <c r="DS50" s="5375"/>
      <c r="DT50" s="1184" t="s">
        <v>425</v>
      </c>
      <c r="DV50" s="436"/>
      <c r="DW50" s="436" t="str">
        <f t="shared" si="2"/>
        <v>Территория действия тарифа</v>
      </c>
      <c r="DX50" s="436"/>
      <c r="DY50" s="436"/>
      <c r="DZ50" s="1081">
        <v>21</v>
      </c>
    </row>
    <row r="51" spans="1:130" ht="24" customHeight="1">
      <c r="A51" s="1193" t="s">
        <v>201</v>
      </c>
      <c r="B51" s="1193" t="s">
        <v>202</v>
      </c>
      <c r="C51" s="1193" t="s">
        <v>203</v>
      </c>
      <c r="D51" s="1193"/>
      <c r="E51" s="5416"/>
      <c r="F51" s="5416"/>
      <c r="G51" s="5415">
        <v>1</v>
      </c>
      <c r="H51" s="1193"/>
      <c r="I51" s="1193"/>
      <c r="J51" s="1193"/>
      <c r="K51" s="1193"/>
      <c r="L51" s="1193"/>
      <c r="M51" s="1236"/>
      <c r="N51" s="624"/>
      <c r="O51" s="624"/>
      <c r="P51" s="624"/>
      <c r="Q51" s="290"/>
      <c r="R51" s="288"/>
      <c r="S51" s="445"/>
      <c r="T51" s="289"/>
      <c r="U51" s="1262" t="str">
        <f>INDEX(PT_DIFFERENTIATION_NUM_CS,MATCH(C51,PT_DIFFERENTIATION_CS_ID,0))</f>
        <v>1.1.1</v>
      </c>
      <c r="V51" s="246" t="s">
        <v>426</v>
      </c>
      <c r="W51" s="237"/>
      <c r="X51" s="5373"/>
      <c r="Y51" s="5374"/>
      <c r="Z51" s="5374"/>
      <c r="AA51" s="5374"/>
      <c r="AB51" s="5374"/>
      <c r="AC51" s="5374"/>
      <c r="AD51" s="5374"/>
      <c r="AE51" s="5374"/>
      <c r="AF51" s="5375"/>
      <c r="AG51" s="5373" t="str">
        <f>INDEX(PT_DIFFERENTIATION_CS,MATCH(C51,PT_DIFFERENTIATION_CS_ID,0))</f>
        <v>без дифференциации</v>
      </c>
      <c r="AH51" s="5374"/>
      <c r="AI51" s="5374"/>
      <c r="AJ51" s="5374"/>
      <c r="AK51" s="5374"/>
      <c r="AL51" s="5374"/>
      <c r="AM51" s="5374"/>
      <c r="AN51" s="5374"/>
      <c r="AO51" s="5374"/>
      <c r="AP51" s="5373"/>
      <c r="AQ51" s="5374"/>
      <c r="AR51" s="5374"/>
      <c r="AS51" s="5374"/>
      <c r="AT51" s="5374"/>
      <c r="AU51" s="5374"/>
      <c r="AV51" s="5374"/>
      <c r="AW51" s="5374"/>
      <c r="AX51" s="5375"/>
      <c r="AY51" s="5373"/>
      <c r="AZ51" s="5374"/>
      <c r="BA51" s="5374"/>
      <c r="BB51" s="5374"/>
      <c r="BC51" s="5374"/>
      <c r="BD51" s="5374"/>
      <c r="BE51" s="5374"/>
      <c r="BF51" s="5374"/>
      <c r="BG51" s="5375"/>
      <c r="BH51" s="5373"/>
      <c r="BI51" s="5374"/>
      <c r="BJ51" s="5374"/>
      <c r="BK51" s="5374"/>
      <c r="BL51" s="5374"/>
      <c r="BM51" s="5374"/>
      <c r="BN51" s="5374"/>
      <c r="BO51" s="5374"/>
      <c r="BP51" s="5375"/>
      <c r="BQ51" s="5373"/>
      <c r="BR51" s="5374"/>
      <c r="BS51" s="5374"/>
      <c r="BT51" s="5374"/>
      <c r="BU51" s="5374"/>
      <c r="BV51" s="5374"/>
      <c r="BW51" s="5374"/>
      <c r="BX51" s="5374"/>
      <c r="BY51" s="5375"/>
      <c r="BZ51" s="5373"/>
      <c r="CA51" s="5374"/>
      <c r="CB51" s="5374"/>
      <c r="CC51" s="5374"/>
      <c r="CD51" s="5374"/>
      <c r="CE51" s="5374"/>
      <c r="CF51" s="5374"/>
      <c r="CG51" s="5374"/>
      <c r="CH51" s="5375"/>
      <c r="CI51" s="5373"/>
      <c r="CJ51" s="5374"/>
      <c r="CK51" s="5374"/>
      <c r="CL51" s="5374"/>
      <c r="CM51" s="5374"/>
      <c r="CN51" s="5374"/>
      <c r="CO51" s="5374"/>
      <c r="CP51" s="5374"/>
      <c r="CQ51" s="5375"/>
      <c r="CR51" s="5373"/>
      <c r="CS51" s="5374"/>
      <c r="CT51" s="5374"/>
      <c r="CU51" s="5374"/>
      <c r="CV51" s="5374"/>
      <c r="CW51" s="5374"/>
      <c r="CX51" s="5374"/>
      <c r="CY51" s="5374"/>
      <c r="CZ51" s="5375"/>
      <c r="DA51" s="5373"/>
      <c r="DB51" s="5374"/>
      <c r="DC51" s="5374"/>
      <c r="DD51" s="5374"/>
      <c r="DE51" s="5374"/>
      <c r="DF51" s="5374"/>
      <c r="DG51" s="5374"/>
      <c r="DH51" s="5374"/>
      <c r="DI51" s="5375"/>
      <c r="DJ51" s="5373"/>
      <c r="DK51" s="5374"/>
      <c r="DL51" s="5374"/>
      <c r="DM51" s="5374"/>
      <c r="DN51" s="5374"/>
      <c r="DO51" s="5374"/>
      <c r="DP51" s="5374"/>
      <c r="DQ51" s="5374"/>
      <c r="DR51" s="5376"/>
      <c r="DS51" s="5375"/>
      <c r="DT51" s="1184" t="s">
        <v>427</v>
      </c>
      <c r="DV51" s="436"/>
      <c r="DW51" s="436" t="str">
        <f t="shared" si="2"/>
        <v xml:space="preserve">Наименование системы теплоснабжения </v>
      </c>
      <c r="DX51" s="436"/>
      <c r="DY51" s="436"/>
      <c r="DZ51" s="1081">
        <v>23</v>
      </c>
    </row>
    <row r="52" spans="1:130" ht="21.95" customHeight="1">
      <c r="A52" s="1193" t="s">
        <v>201</v>
      </c>
      <c r="B52" s="1193" t="s">
        <v>202</v>
      </c>
      <c r="C52" s="1193" t="s">
        <v>203</v>
      </c>
      <c r="D52" s="1193" t="s">
        <v>204</v>
      </c>
      <c r="E52" s="5416"/>
      <c r="F52" s="5416"/>
      <c r="G52" s="5416"/>
      <c r="H52" s="5415">
        <v>1</v>
      </c>
      <c r="I52" s="1193"/>
      <c r="J52" s="1193"/>
      <c r="K52" s="1193"/>
      <c r="L52" s="1193"/>
      <c r="M52" s="1236"/>
      <c r="N52" s="624"/>
      <c r="O52" s="624"/>
      <c r="P52" s="624"/>
      <c r="Q52" s="290"/>
      <c r="R52" s="288"/>
      <c r="S52" s="445"/>
      <c r="T52" s="289"/>
      <c r="U52" s="1262" t="str">
        <f>INDEX(PT_DIFFERENTIATION_NUM_IST_TE,MATCH(D52,PT_DIFFERENTIATION_IST_TE_ID,0))</f>
        <v>1.1.1.1</v>
      </c>
      <c r="V52" s="247" t="s">
        <v>428</v>
      </c>
      <c r="W52" s="237"/>
      <c r="X52" s="5373"/>
      <c r="Y52" s="5374"/>
      <c r="Z52" s="5374"/>
      <c r="AA52" s="5374"/>
      <c r="AB52" s="5374"/>
      <c r="AC52" s="5374"/>
      <c r="AD52" s="5374"/>
      <c r="AE52" s="5374"/>
      <c r="AF52" s="5375"/>
      <c r="AG52" s="5373" t="str">
        <f>INDEX(PT_DIFFERENTIATION_IST_TE,MATCH(D52,PT_DIFFERENTIATION_IST_TE_ID,0))</f>
        <v>без дифференциации</v>
      </c>
      <c r="AH52" s="5374"/>
      <c r="AI52" s="5374"/>
      <c r="AJ52" s="5374"/>
      <c r="AK52" s="5374"/>
      <c r="AL52" s="5374"/>
      <c r="AM52" s="5374"/>
      <c r="AN52" s="5374"/>
      <c r="AO52" s="5374"/>
      <c r="AP52" s="5373"/>
      <c r="AQ52" s="5374"/>
      <c r="AR52" s="5374"/>
      <c r="AS52" s="5374"/>
      <c r="AT52" s="5374"/>
      <c r="AU52" s="5374"/>
      <c r="AV52" s="5374"/>
      <c r="AW52" s="5374"/>
      <c r="AX52" s="5375"/>
      <c r="AY52" s="5373"/>
      <c r="AZ52" s="5374"/>
      <c r="BA52" s="5374"/>
      <c r="BB52" s="5374"/>
      <c r="BC52" s="5374"/>
      <c r="BD52" s="5374"/>
      <c r="BE52" s="5374"/>
      <c r="BF52" s="5374"/>
      <c r="BG52" s="5375"/>
      <c r="BH52" s="5373"/>
      <c r="BI52" s="5374"/>
      <c r="BJ52" s="5374"/>
      <c r="BK52" s="5374"/>
      <c r="BL52" s="5374"/>
      <c r="BM52" s="5374"/>
      <c r="BN52" s="5374"/>
      <c r="BO52" s="5374"/>
      <c r="BP52" s="5375"/>
      <c r="BQ52" s="5373"/>
      <c r="BR52" s="5374"/>
      <c r="BS52" s="5374"/>
      <c r="BT52" s="5374"/>
      <c r="BU52" s="5374"/>
      <c r="BV52" s="5374"/>
      <c r="BW52" s="5374"/>
      <c r="BX52" s="5374"/>
      <c r="BY52" s="5375"/>
      <c r="BZ52" s="5373"/>
      <c r="CA52" s="5374"/>
      <c r="CB52" s="5374"/>
      <c r="CC52" s="5374"/>
      <c r="CD52" s="5374"/>
      <c r="CE52" s="5374"/>
      <c r="CF52" s="5374"/>
      <c r="CG52" s="5374"/>
      <c r="CH52" s="5375"/>
      <c r="CI52" s="5373"/>
      <c r="CJ52" s="5374"/>
      <c r="CK52" s="5374"/>
      <c r="CL52" s="5374"/>
      <c r="CM52" s="5374"/>
      <c r="CN52" s="5374"/>
      <c r="CO52" s="5374"/>
      <c r="CP52" s="5374"/>
      <c r="CQ52" s="5375"/>
      <c r="CR52" s="5373"/>
      <c r="CS52" s="5374"/>
      <c r="CT52" s="5374"/>
      <c r="CU52" s="5374"/>
      <c r="CV52" s="5374"/>
      <c r="CW52" s="5374"/>
      <c r="CX52" s="5374"/>
      <c r="CY52" s="5374"/>
      <c r="CZ52" s="5375"/>
      <c r="DA52" s="5373"/>
      <c r="DB52" s="5374"/>
      <c r="DC52" s="5374"/>
      <c r="DD52" s="5374"/>
      <c r="DE52" s="5374"/>
      <c r="DF52" s="5374"/>
      <c r="DG52" s="5374"/>
      <c r="DH52" s="5374"/>
      <c r="DI52" s="5375"/>
      <c r="DJ52" s="5373"/>
      <c r="DK52" s="5374"/>
      <c r="DL52" s="5374"/>
      <c r="DM52" s="5374"/>
      <c r="DN52" s="5374"/>
      <c r="DO52" s="5374"/>
      <c r="DP52" s="5374"/>
      <c r="DQ52" s="5374"/>
      <c r="DR52" s="5376"/>
      <c r="DS52" s="5375"/>
      <c r="DT52" s="1184" t="s">
        <v>429</v>
      </c>
      <c r="DV52" s="436"/>
      <c r="DW52" s="436" t="str">
        <f t="shared" si="2"/>
        <v xml:space="preserve">Источник тепловой энергии  </v>
      </c>
      <c r="DX52" s="436"/>
      <c r="DY52" s="436"/>
      <c r="DZ52" s="1081">
        <v>21</v>
      </c>
    </row>
    <row r="53" spans="1:130" s="1568" customFormat="1" ht="0" hidden="1" customHeight="1">
      <c r="A53" s="1301" t="s">
        <v>201</v>
      </c>
      <c r="B53" s="1301" t="s">
        <v>202</v>
      </c>
      <c r="C53" s="1301" t="s">
        <v>203</v>
      </c>
      <c r="D53" s="1301" t="s">
        <v>204</v>
      </c>
      <c r="E53" s="5416"/>
      <c r="F53" s="5416"/>
      <c r="G53" s="5416"/>
      <c r="H53" s="5416"/>
      <c r="I53" s="5235" t="str">
        <f>U52&amp;".1"</f>
        <v>1.1.1.1.1</v>
      </c>
      <c r="J53" s="1301"/>
      <c r="K53" s="1301"/>
      <c r="L53" s="1301"/>
      <c r="M53" s="1307" t="s">
        <v>430</v>
      </c>
      <c r="N53" s="1172"/>
      <c r="O53" s="1172"/>
      <c r="P53" s="1172"/>
      <c r="Q53" s="5385">
        <v>1</v>
      </c>
      <c r="R53" s="1257"/>
      <c r="S53" s="1257"/>
      <c r="T53" s="292"/>
      <c r="U53" s="971"/>
      <c r="V53" s="1309"/>
      <c r="W53" s="1310"/>
      <c r="X53" s="5420"/>
      <c r="Y53" s="5421"/>
      <c r="Z53" s="5421"/>
      <c r="AA53" s="5421"/>
      <c r="AB53" s="5421"/>
      <c r="AC53" s="5421"/>
      <c r="AD53" s="5421"/>
      <c r="AE53" s="5421"/>
      <c r="AF53" s="5422"/>
      <c r="AG53" s="5420"/>
      <c r="AH53" s="5421"/>
      <c r="AI53" s="5421"/>
      <c r="AJ53" s="5421"/>
      <c r="AK53" s="5421"/>
      <c r="AL53" s="5421"/>
      <c r="AM53" s="5421"/>
      <c r="AN53" s="5421"/>
      <c r="AO53" s="5421"/>
      <c r="AP53" s="5420"/>
      <c r="AQ53" s="5421"/>
      <c r="AR53" s="5421"/>
      <c r="AS53" s="5421"/>
      <c r="AT53" s="5421"/>
      <c r="AU53" s="5421"/>
      <c r="AV53" s="5421"/>
      <c r="AW53" s="5421"/>
      <c r="AX53" s="5422"/>
      <c r="AY53" s="5420"/>
      <c r="AZ53" s="5421"/>
      <c r="BA53" s="5421"/>
      <c r="BB53" s="5421"/>
      <c r="BC53" s="5421"/>
      <c r="BD53" s="5421"/>
      <c r="BE53" s="5421"/>
      <c r="BF53" s="5421"/>
      <c r="BG53" s="5422"/>
      <c r="BH53" s="5420"/>
      <c r="BI53" s="5421"/>
      <c r="BJ53" s="5421"/>
      <c r="BK53" s="5421"/>
      <c r="BL53" s="5421"/>
      <c r="BM53" s="5421"/>
      <c r="BN53" s="5421"/>
      <c r="BO53" s="5421"/>
      <c r="BP53" s="5422"/>
      <c r="BQ53" s="5420"/>
      <c r="BR53" s="5421"/>
      <c r="BS53" s="5421"/>
      <c r="BT53" s="5421"/>
      <c r="BU53" s="5421"/>
      <c r="BV53" s="5421"/>
      <c r="BW53" s="5421"/>
      <c r="BX53" s="5421"/>
      <c r="BY53" s="5422"/>
      <c r="BZ53" s="5420"/>
      <c r="CA53" s="5421"/>
      <c r="CB53" s="5421"/>
      <c r="CC53" s="5421"/>
      <c r="CD53" s="5421"/>
      <c r="CE53" s="5421"/>
      <c r="CF53" s="5421"/>
      <c r="CG53" s="5421"/>
      <c r="CH53" s="5422"/>
      <c r="CI53" s="5420"/>
      <c r="CJ53" s="5421"/>
      <c r="CK53" s="5421"/>
      <c r="CL53" s="5421"/>
      <c r="CM53" s="5421"/>
      <c r="CN53" s="5421"/>
      <c r="CO53" s="5421"/>
      <c r="CP53" s="5421"/>
      <c r="CQ53" s="5422"/>
      <c r="CR53" s="5420"/>
      <c r="CS53" s="5421"/>
      <c r="CT53" s="5421"/>
      <c r="CU53" s="5421"/>
      <c r="CV53" s="5421"/>
      <c r="CW53" s="5421"/>
      <c r="CX53" s="5421"/>
      <c r="CY53" s="5421"/>
      <c r="CZ53" s="5422"/>
      <c r="DA53" s="5420"/>
      <c r="DB53" s="5421"/>
      <c r="DC53" s="5421"/>
      <c r="DD53" s="5421"/>
      <c r="DE53" s="5421"/>
      <c r="DF53" s="5421"/>
      <c r="DG53" s="5421"/>
      <c r="DH53" s="5421"/>
      <c r="DI53" s="5422"/>
      <c r="DJ53" s="5420"/>
      <c r="DK53" s="5421"/>
      <c r="DL53" s="5421"/>
      <c r="DM53" s="5421"/>
      <c r="DN53" s="5421"/>
      <c r="DO53" s="5421"/>
      <c r="DP53" s="5421"/>
      <c r="DQ53" s="5421"/>
      <c r="DR53" s="5423"/>
      <c r="DS53" s="5422"/>
      <c r="DT53" s="1311"/>
      <c r="DV53" s="436"/>
      <c r="DW53" s="436" t="str">
        <f t="shared" si="2"/>
        <v/>
      </c>
      <c r="DX53" s="436"/>
      <c r="DY53" s="436"/>
      <c r="DZ53" s="447">
        <v>0</v>
      </c>
    </row>
    <row r="54" spans="1:130" ht="21.95" customHeight="1">
      <c r="A54" s="1193" t="s">
        <v>201</v>
      </c>
      <c r="B54" s="1193" t="s">
        <v>202</v>
      </c>
      <c r="C54" s="1193" t="s">
        <v>203</v>
      </c>
      <c r="D54" s="1193" t="s">
        <v>204</v>
      </c>
      <c r="E54" s="5416"/>
      <c r="F54" s="5416"/>
      <c r="G54" s="5416"/>
      <c r="H54" s="5416"/>
      <c r="I54" s="5217"/>
      <c r="J54" s="5235" t="str">
        <f>I53&amp;".1"</f>
        <v>1.1.1.1.1.1</v>
      </c>
      <c r="K54" s="1193"/>
      <c r="L54" s="1193"/>
      <c r="M54" s="1236" t="s">
        <v>433</v>
      </c>
      <c r="Q54" s="5385"/>
      <c r="R54" s="5385">
        <v>1</v>
      </c>
      <c r="S54" s="454"/>
      <c r="T54" s="293"/>
      <c r="U54" s="1262" t="str">
        <f>$J54</f>
        <v>1.1.1.1.1.1</v>
      </c>
      <c r="V54" s="223" t="s">
        <v>434</v>
      </c>
      <c r="W54" s="237"/>
      <c r="X54" s="5366"/>
      <c r="Y54" s="5367"/>
      <c r="Z54" s="5367"/>
      <c r="AA54" s="5367"/>
      <c r="AB54" s="5367"/>
      <c r="AC54" s="5362"/>
      <c r="AD54" s="5362"/>
      <c r="AE54" s="5362"/>
      <c r="AF54" s="5434"/>
      <c r="AG54" s="5366" t="s">
        <v>479</v>
      </c>
      <c r="AH54" s="5367"/>
      <c r="AI54" s="5367"/>
      <c r="AJ54" s="5367"/>
      <c r="AK54" s="5367"/>
      <c r="AL54" s="5367"/>
      <c r="AM54" s="5367"/>
      <c r="AN54" s="5367"/>
      <c r="AO54" s="5367"/>
      <c r="AP54" s="5366"/>
      <c r="AQ54" s="5367"/>
      <c r="AR54" s="5367"/>
      <c r="AS54" s="5367"/>
      <c r="AT54" s="5367"/>
      <c r="AU54" s="5362"/>
      <c r="AV54" s="5362"/>
      <c r="AW54" s="5362"/>
      <c r="AX54" s="5434"/>
      <c r="AY54" s="5366"/>
      <c r="AZ54" s="5367"/>
      <c r="BA54" s="5367"/>
      <c r="BB54" s="5367"/>
      <c r="BC54" s="5367"/>
      <c r="BD54" s="5362"/>
      <c r="BE54" s="5362"/>
      <c r="BF54" s="5362"/>
      <c r="BG54" s="5434"/>
      <c r="BH54" s="5366"/>
      <c r="BI54" s="5367"/>
      <c r="BJ54" s="5367"/>
      <c r="BK54" s="5367"/>
      <c r="BL54" s="5367"/>
      <c r="BM54" s="5362"/>
      <c r="BN54" s="5362"/>
      <c r="BO54" s="5362"/>
      <c r="BP54" s="5434"/>
      <c r="BQ54" s="5366"/>
      <c r="BR54" s="5367"/>
      <c r="BS54" s="5367"/>
      <c r="BT54" s="5367"/>
      <c r="BU54" s="5367"/>
      <c r="BV54" s="5362"/>
      <c r="BW54" s="5362"/>
      <c r="BX54" s="5362"/>
      <c r="BY54" s="5434"/>
      <c r="BZ54" s="5366"/>
      <c r="CA54" s="5367"/>
      <c r="CB54" s="5367"/>
      <c r="CC54" s="5367"/>
      <c r="CD54" s="5367"/>
      <c r="CE54" s="5362"/>
      <c r="CF54" s="5362"/>
      <c r="CG54" s="5362"/>
      <c r="CH54" s="5434"/>
      <c r="CI54" s="5366"/>
      <c r="CJ54" s="5367"/>
      <c r="CK54" s="5367"/>
      <c r="CL54" s="5367"/>
      <c r="CM54" s="5367"/>
      <c r="CN54" s="5362"/>
      <c r="CO54" s="5362"/>
      <c r="CP54" s="5362"/>
      <c r="CQ54" s="5434"/>
      <c r="CR54" s="5366"/>
      <c r="CS54" s="5367"/>
      <c r="CT54" s="5367"/>
      <c r="CU54" s="5367"/>
      <c r="CV54" s="5367"/>
      <c r="CW54" s="5362"/>
      <c r="CX54" s="5362"/>
      <c r="CY54" s="5362"/>
      <c r="CZ54" s="5434"/>
      <c r="DA54" s="5366"/>
      <c r="DB54" s="5367"/>
      <c r="DC54" s="5367"/>
      <c r="DD54" s="5367"/>
      <c r="DE54" s="5367"/>
      <c r="DF54" s="5362"/>
      <c r="DG54" s="5362"/>
      <c r="DH54" s="5362"/>
      <c r="DI54" s="5434"/>
      <c r="DJ54" s="5366"/>
      <c r="DK54" s="5367"/>
      <c r="DL54" s="5367"/>
      <c r="DM54" s="5367"/>
      <c r="DN54" s="5367"/>
      <c r="DO54" s="5362"/>
      <c r="DP54" s="5362"/>
      <c r="DQ54" s="5362"/>
      <c r="DR54" s="5435"/>
      <c r="DS54" s="5368"/>
      <c r="DT54" s="1184" t="s">
        <v>435</v>
      </c>
      <c r="DV54" s="436"/>
      <c r="DW54" s="436" t="str">
        <f t="shared" si="2"/>
        <v>Группа потребителей</v>
      </c>
      <c r="DX54" s="436"/>
      <c r="DY54" s="436"/>
      <c r="DZ54" s="1081">
        <v>21</v>
      </c>
    </row>
    <row r="55" spans="1:130" ht="54" customHeight="1">
      <c r="A55" s="1193" t="s">
        <v>201</v>
      </c>
      <c r="B55" s="1193" t="s">
        <v>202</v>
      </c>
      <c r="C55" s="1193" t="s">
        <v>203</v>
      </c>
      <c r="D55" s="1193" t="s">
        <v>204</v>
      </c>
      <c r="E55" s="5416"/>
      <c r="F55" s="5416"/>
      <c r="G55" s="5416"/>
      <c r="H55" s="5416"/>
      <c r="I55" s="5217"/>
      <c r="J55" s="5217"/>
      <c r="K55" s="5235" t="str">
        <f>J54&amp;".1"</f>
        <v>1.1.1.1.1.1.1</v>
      </c>
      <c r="L55" s="78"/>
      <c r="M55" s="1236" t="s">
        <v>436</v>
      </c>
      <c r="Q55" s="5385"/>
      <c r="R55" s="5385"/>
      <c r="S55" s="454">
        <v>1</v>
      </c>
      <c r="T55" s="293"/>
      <c r="U55" s="1262" t="str">
        <f>$K55</f>
        <v>1.1.1.1.1.1.1</v>
      </c>
      <c r="V55" s="1273" t="s">
        <v>493</v>
      </c>
      <c r="W55" s="237"/>
      <c r="X55" s="687"/>
      <c r="Y55" s="687"/>
      <c r="Z55" s="687"/>
      <c r="AA55" s="687"/>
      <c r="AB55" s="1331"/>
      <c r="AC55" s="5386"/>
      <c r="AD55" s="5245" t="s">
        <v>65</v>
      </c>
      <c r="AE55" s="5386"/>
      <c r="AF55" s="5245" t="s">
        <v>65</v>
      </c>
      <c r="AG55" s="1333"/>
      <c r="AH55" s="687"/>
      <c r="AI55" s="687"/>
      <c r="AJ55" s="687"/>
      <c r="AK55" s="1183"/>
      <c r="AL55" s="5386">
        <v>45292</v>
      </c>
      <c r="AM55" s="5245" t="s">
        <v>65</v>
      </c>
      <c r="AN55" s="5386">
        <v>45473</v>
      </c>
      <c r="AO55" s="5245" t="s">
        <v>65</v>
      </c>
      <c r="AP55" s="687"/>
      <c r="AQ55" s="687"/>
      <c r="AR55" s="687"/>
      <c r="AS55" s="687"/>
      <c r="AT55" s="1331"/>
      <c r="AU55" s="5386">
        <v>45474</v>
      </c>
      <c r="AV55" s="5245" t="s">
        <v>65</v>
      </c>
      <c r="AW55" s="5386">
        <v>45657</v>
      </c>
      <c r="AX55" s="5245" t="s">
        <v>65</v>
      </c>
      <c r="AY55" s="687"/>
      <c r="AZ55" s="687"/>
      <c r="BA55" s="687"/>
      <c r="BB55" s="687"/>
      <c r="BC55" s="1331"/>
      <c r="BD55" s="5386">
        <v>45658</v>
      </c>
      <c r="BE55" s="5245" t="s">
        <v>65</v>
      </c>
      <c r="BF55" s="5386">
        <v>45838</v>
      </c>
      <c r="BG55" s="5245" t="s">
        <v>65</v>
      </c>
      <c r="BH55" s="687"/>
      <c r="BI55" s="687"/>
      <c r="BJ55" s="687"/>
      <c r="BK55" s="687"/>
      <c r="BL55" s="1331"/>
      <c r="BM55" s="5386">
        <v>45839</v>
      </c>
      <c r="BN55" s="5245" t="s">
        <v>65</v>
      </c>
      <c r="BO55" s="5386">
        <v>46022</v>
      </c>
      <c r="BP55" s="5245" t="s">
        <v>65</v>
      </c>
      <c r="BQ55" s="687"/>
      <c r="BR55" s="687"/>
      <c r="BS55" s="687"/>
      <c r="BT55" s="687"/>
      <c r="BU55" s="1331"/>
      <c r="BV55" s="5386">
        <v>46023</v>
      </c>
      <c r="BW55" s="5245" t="s">
        <v>65</v>
      </c>
      <c r="BX55" s="5386">
        <v>46203</v>
      </c>
      <c r="BY55" s="5245" t="s">
        <v>65</v>
      </c>
      <c r="BZ55" s="687"/>
      <c r="CA55" s="687"/>
      <c r="CB55" s="687"/>
      <c r="CC55" s="687"/>
      <c r="CD55" s="1331"/>
      <c r="CE55" s="5386">
        <v>46204</v>
      </c>
      <c r="CF55" s="5245" t="s">
        <v>65</v>
      </c>
      <c r="CG55" s="5386">
        <v>46387</v>
      </c>
      <c r="CH55" s="5245" t="s">
        <v>65</v>
      </c>
      <c r="CI55" s="687"/>
      <c r="CJ55" s="687"/>
      <c r="CK55" s="687"/>
      <c r="CL55" s="687"/>
      <c r="CM55" s="1331"/>
      <c r="CN55" s="5386">
        <v>46388</v>
      </c>
      <c r="CO55" s="5245" t="s">
        <v>65</v>
      </c>
      <c r="CP55" s="5386">
        <v>46568</v>
      </c>
      <c r="CQ55" s="5245" t="s">
        <v>65</v>
      </c>
      <c r="CR55" s="687"/>
      <c r="CS55" s="687"/>
      <c r="CT55" s="687"/>
      <c r="CU55" s="687"/>
      <c r="CV55" s="1331"/>
      <c r="CW55" s="5386">
        <v>46569</v>
      </c>
      <c r="CX55" s="5245" t="s">
        <v>65</v>
      </c>
      <c r="CY55" s="5386">
        <v>46752</v>
      </c>
      <c r="CZ55" s="5245" t="s">
        <v>65</v>
      </c>
      <c r="DA55" s="687"/>
      <c r="DB55" s="687"/>
      <c r="DC55" s="687"/>
      <c r="DD55" s="687"/>
      <c r="DE55" s="1331"/>
      <c r="DF55" s="5386">
        <v>46753</v>
      </c>
      <c r="DG55" s="5245" t="s">
        <v>65</v>
      </c>
      <c r="DH55" s="5386">
        <v>46934</v>
      </c>
      <c r="DI55" s="5245" t="s">
        <v>65</v>
      </c>
      <c r="DJ55" s="687"/>
      <c r="DK55" s="687"/>
      <c r="DL55" s="687"/>
      <c r="DM55" s="687"/>
      <c r="DN55" s="1331"/>
      <c r="DO55" s="5386">
        <v>46935</v>
      </c>
      <c r="DP55" s="5245" t="s">
        <v>65</v>
      </c>
      <c r="DQ55" s="5386">
        <v>47118</v>
      </c>
      <c r="DR55" s="5245" t="s">
        <v>65</v>
      </c>
      <c r="DS55" s="1274"/>
      <c r="DT55" s="1233" t="s">
        <v>481</v>
      </c>
      <c r="DU55" s="447" t="e">
        <f ca="1">STRCHECKDATE(X57:DS57)</f>
        <v>#NAME?</v>
      </c>
      <c r="DV55" s="436"/>
      <c r="DW55" s="436" t="str">
        <f t="shared" si="2"/>
        <v>горячая вода в системе централизованного теплоснабжения на горячее водоснабжение</v>
      </c>
      <c r="DX55" s="436"/>
      <c r="DY55" s="436"/>
      <c r="DZ55" s="1081">
        <v>21</v>
      </c>
    </row>
    <row r="56" spans="1:130" ht="55.5" customHeight="1">
      <c r="A56" s="1193" t="s">
        <v>201</v>
      </c>
      <c r="B56" s="1193" t="s">
        <v>202</v>
      </c>
      <c r="C56" s="1193" t="s">
        <v>203</v>
      </c>
      <c r="D56" s="1193" t="s">
        <v>204</v>
      </c>
      <c r="E56" s="5416"/>
      <c r="F56" s="5416"/>
      <c r="G56" s="5416"/>
      <c r="H56" s="5416"/>
      <c r="I56" s="5217"/>
      <c r="J56" s="5217"/>
      <c r="K56" s="5217"/>
      <c r="L56" s="5235" t="str">
        <f>K55&amp;".1"</f>
        <v>1.1.1.1.1.1.1.1</v>
      </c>
      <c r="M56" s="1236"/>
      <c r="Q56" s="5385"/>
      <c r="R56" s="5385"/>
      <c r="S56" s="454">
        <v>1</v>
      </c>
      <c r="T56" s="293"/>
      <c r="U56" s="1262" t="str">
        <f>$L56</f>
        <v>1.1.1.1.1.1.1.1</v>
      </c>
      <c r="V56" s="1317" t="s">
        <v>494</v>
      </c>
      <c r="W56" s="237"/>
      <c r="X56" s="262"/>
      <c r="Y56" s="687"/>
      <c r="Z56" s="687"/>
      <c r="AA56" s="687"/>
      <c r="AB56" s="1331"/>
      <c r="AC56" s="5387"/>
      <c r="AD56" s="5245"/>
      <c r="AE56" s="5387"/>
      <c r="AF56" s="5245"/>
      <c r="AG56" s="1333"/>
      <c r="AH56" s="687">
        <v>43.42</v>
      </c>
      <c r="AI56" s="687">
        <v>2059.04</v>
      </c>
      <c r="AJ56" s="687"/>
      <c r="AK56" s="1183"/>
      <c r="AL56" s="5387"/>
      <c r="AM56" s="5245"/>
      <c r="AN56" s="5387"/>
      <c r="AO56" s="5245"/>
      <c r="AP56" s="262"/>
      <c r="AQ56" s="687">
        <v>45.76</v>
      </c>
      <c r="AR56" s="687">
        <v>2301.8200000000002</v>
      </c>
      <c r="AS56" s="687"/>
      <c r="AT56" s="1331"/>
      <c r="AU56" s="5387"/>
      <c r="AV56" s="5245"/>
      <c r="AW56" s="5387"/>
      <c r="AX56" s="5245"/>
      <c r="AY56" s="262"/>
      <c r="AZ56" s="687">
        <v>45.76</v>
      </c>
      <c r="BA56" s="687">
        <v>2306.0100000000002</v>
      </c>
      <c r="BB56" s="687"/>
      <c r="BC56" s="1331"/>
      <c r="BD56" s="5387"/>
      <c r="BE56" s="5245"/>
      <c r="BF56" s="5387"/>
      <c r="BG56" s="5245"/>
      <c r="BH56" s="262"/>
      <c r="BI56" s="687">
        <v>50.17</v>
      </c>
      <c r="BJ56" s="687">
        <v>2343.79</v>
      </c>
      <c r="BK56" s="687"/>
      <c r="BL56" s="1331"/>
      <c r="BM56" s="5387"/>
      <c r="BN56" s="5245"/>
      <c r="BO56" s="5387"/>
      <c r="BP56" s="5245"/>
      <c r="BQ56" s="262"/>
      <c r="BR56" s="687">
        <v>50.17</v>
      </c>
      <c r="BS56" s="687">
        <v>2343.79</v>
      </c>
      <c r="BT56" s="687"/>
      <c r="BU56" s="1331"/>
      <c r="BV56" s="5387"/>
      <c r="BW56" s="5245"/>
      <c r="BX56" s="5387"/>
      <c r="BY56" s="5245"/>
      <c r="BZ56" s="262"/>
      <c r="CA56" s="687">
        <v>51.55</v>
      </c>
      <c r="CB56" s="687">
        <v>2507.79</v>
      </c>
      <c r="CC56" s="687"/>
      <c r="CD56" s="1331"/>
      <c r="CE56" s="5387"/>
      <c r="CF56" s="5245"/>
      <c r="CG56" s="5387"/>
      <c r="CH56" s="5245"/>
      <c r="CI56" s="262"/>
      <c r="CJ56" s="687">
        <v>51.55</v>
      </c>
      <c r="CK56" s="687">
        <v>2507.79</v>
      </c>
      <c r="CL56" s="687"/>
      <c r="CM56" s="1331"/>
      <c r="CN56" s="5387"/>
      <c r="CO56" s="5245"/>
      <c r="CP56" s="5387"/>
      <c r="CQ56" s="5245"/>
      <c r="CR56" s="262"/>
      <c r="CS56" s="687">
        <v>54.79</v>
      </c>
      <c r="CT56" s="687">
        <v>2515.52</v>
      </c>
      <c r="CU56" s="687"/>
      <c r="CV56" s="1331"/>
      <c r="CW56" s="5387"/>
      <c r="CX56" s="5245"/>
      <c r="CY56" s="5387"/>
      <c r="CZ56" s="5245"/>
      <c r="DA56" s="262"/>
      <c r="DB56" s="687">
        <v>54.79</v>
      </c>
      <c r="DC56" s="687">
        <v>2515.52</v>
      </c>
      <c r="DD56" s="687"/>
      <c r="DE56" s="1331"/>
      <c r="DF56" s="5387"/>
      <c r="DG56" s="5245"/>
      <c r="DH56" s="5387"/>
      <c r="DI56" s="5245"/>
      <c r="DJ56" s="262"/>
      <c r="DK56" s="687">
        <v>56.42</v>
      </c>
      <c r="DL56" s="687">
        <v>2649.96</v>
      </c>
      <c r="DM56" s="687"/>
      <c r="DN56" s="1331"/>
      <c r="DO56" s="5387"/>
      <c r="DP56" s="5245"/>
      <c r="DQ56" s="5387"/>
      <c r="DR56" s="5245"/>
      <c r="DS56" s="1274"/>
      <c r="DT56" s="5405" t="s">
        <v>482</v>
      </c>
      <c r="DU56" s="447" t="e">
        <f ca="1">STRCHECKDATE(X58:DS58)</f>
        <v>#NAME?</v>
      </c>
      <c r="DV56" s="436"/>
      <c r="DW56" s="436" t="str">
        <f t="shared" si="2"/>
        <v>прочие потребители, получающие тепловую энергию по тепловым сетям</v>
      </c>
      <c r="DX56" s="436"/>
      <c r="DY56" s="436"/>
      <c r="DZ56" s="1081">
        <v>11</v>
      </c>
    </row>
    <row r="57" spans="1:130" ht="0" hidden="1" customHeight="1">
      <c r="A57" s="1193" t="s">
        <v>201</v>
      </c>
      <c r="B57" s="1193" t="s">
        <v>202</v>
      </c>
      <c r="C57" s="1193" t="s">
        <v>203</v>
      </c>
      <c r="D57" s="1193" t="s">
        <v>204</v>
      </c>
      <c r="E57" s="5416"/>
      <c r="F57" s="5416"/>
      <c r="G57" s="5416"/>
      <c r="H57" s="5416"/>
      <c r="I57" s="5217"/>
      <c r="J57" s="5217"/>
      <c r="K57" s="5217"/>
      <c r="L57" s="5235"/>
      <c r="M57" s="1236"/>
      <c r="Q57" s="5385"/>
      <c r="R57" s="5385"/>
      <c r="S57" s="454"/>
      <c r="T57" s="293"/>
      <c r="U57" s="1268"/>
      <c r="V57" s="237"/>
      <c r="W57" s="237"/>
      <c r="X57" s="262"/>
      <c r="Y57" s="262"/>
      <c r="Z57" s="262"/>
      <c r="AA57" s="262"/>
      <c r="AB57" s="1332" t="str">
        <f>AC55&amp;"-"&amp;AE55</f>
        <v>-</v>
      </c>
      <c r="AC57" s="5387"/>
      <c r="AD57" s="5245"/>
      <c r="AE57" s="5387"/>
      <c r="AF57" s="5245"/>
      <c r="AG57" s="1308"/>
      <c r="AH57" s="262"/>
      <c r="AI57" s="262"/>
      <c r="AJ57" s="262"/>
      <c r="AK57" s="265" t="str">
        <f>AL55&amp;"-"&amp;AN55</f>
        <v>45292-45473</v>
      </c>
      <c r="AL57" s="5387"/>
      <c r="AM57" s="5245"/>
      <c r="AN57" s="5387"/>
      <c r="AO57" s="5245"/>
      <c r="AP57" s="262"/>
      <c r="AQ57" s="262"/>
      <c r="AR57" s="262"/>
      <c r="AS57" s="262"/>
      <c r="AT57" s="1332" t="str">
        <f>AU55&amp;"-"&amp;AW55</f>
        <v>45474-45657</v>
      </c>
      <c r="AU57" s="5387"/>
      <c r="AV57" s="5245"/>
      <c r="AW57" s="5387"/>
      <c r="AX57" s="5245"/>
      <c r="AY57" s="262"/>
      <c r="AZ57" s="262"/>
      <c r="BA57" s="262"/>
      <c r="BB57" s="262"/>
      <c r="BC57" s="1332" t="str">
        <f>BD55&amp;"-"&amp;BF55</f>
        <v>45658-45838</v>
      </c>
      <c r="BD57" s="5387"/>
      <c r="BE57" s="5245"/>
      <c r="BF57" s="5387"/>
      <c r="BG57" s="5245"/>
      <c r="BH57" s="262"/>
      <c r="BI57" s="262"/>
      <c r="BJ57" s="262"/>
      <c r="BK57" s="262"/>
      <c r="BL57" s="1332" t="str">
        <f>BM55&amp;"-"&amp;BO55</f>
        <v>45839-46022</v>
      </c>
      <c r="BM57" s="5387"/>
      <c r="BN57" s="5245"/>
      <c r="BO57" s="5387"/>
      <c r="BP57" s="5245"/>
      <c r="BQ57" s="262"/>
      <c r="BR57" s="262"/>
      <c r="BS57" s="262"/>
      <c r="BT57" s="262"/>
      <c r="BU57" s="1332" t="str">
        <f>BV55&amp;"-"&amp;BX55</f>
        <v>46023-46203</v>
      </c>
      <c r="BV57" s="5387"/>
      <c r="BW57" s="5245"/>
      <c r="BX57" s="5387"/>
      <c r="BY57" s="5245"/>
      <c r="BZ57" s="262"/>
      <c r="CA57" s="262"/>
      <c r="CB57" s="262"/>
      <c r="CC57" s="262"/>
      <c r="CD57" s="1332" t="str">
        <f>CE55&amp;"-"&amp;CG55</f>
        <v>46204-46387</v>
      </c>
      <c r="CE57" s="5387"/>
      <c r="CF57" s="5245"/>
      <c r="CG57" s="5387"/>
      <c r="CH57" s="5245"/>
      <c r="CI57" s="262"/>
      <c r="CJ57" s="262"/>
      <c r="CK57" s="262"/>
      <c r="CL57" s="262"/>
      <c r="CM57" s="1332" t="str">
        <f>CN55&amp;"-"&amp;CP55</f>
        <v>46388-46568</v>
      </c>
      <c r="CN57" s="5387"/>
      <c r="CO57" s="5245"/>
      <c r="CP57" s="5387"/>
      <c r="CQ57" s="5245"/>
      <c r="CR57" s="262"/>
      <c r="CS57" s="262"/>
      <c r="CT57" s="262"/>
      <c r="CU57" s="262"/>
      <c r="CV57" s="1332" t="str">
        <f>CW55&amp;"-"&amp;CY55</f>
        <v>46569-46752</v>
      </c>
      <c r="CW57" s="5387"/>
      <c r="CX57" s="5245"/>
      <c r="CY57" s="5387"/>
      <c r="CZ57" s="5245"/>
      <c r="DA57" s="262"/>
      <c r="DB57" s="262"/>
      <c r="DC57" s="262"/>
      <c r="DD57" s="262"/>
      <c r="DE57" s="1332" t="str">
        <f>DF55&amp;"-"&amp;DH55</f>
        <v>46753-46934</v>
      </c>
      <c r="DF57" s="5387"/>
      <c r="DG57" s="5245"/>
      <c r="DH57" s="5387"/>
      <c r="DI57" s="5245"/>
      <c r="DJ57" s="262"/>
      <c r="DK57" s="262"/>
      <c r="DL57" s="262"/>
      <c r="DM57" s="262"/>
      <c r="DN57" s="1332" t="str">
        <f>DO55&amp;"-"&amp;DQ55</f>
        <v>46935-47118</v>
      </c>
      <c r="DO57" s="5387"/>
      <c r="DP57" s="5245"/>
      <c r="DQ57" s="5387"/>
      <c r="DR57" s="5245"/>
      <c r="DS57" s="1275"/>
      <c r="DT57" s="5406"/>
      <c r="DV57" s="436"/>
      <c r="DW57" s="436" t="str">
        <f t="shared" si="2"/>
        <v/>
      </c>
      <c r="DX57" s="436"/>
      <c r="DY57" s="436"/>
      <c r="DZ57" s="1081">
        <v>0</v>
      </c>
    </row>
    <row r="58" spans="1:130" ht="11.45" customHeight="1">
      <c r="A58" s="1193" t="s">
        <v>201</v>
      </c>
      <c r="B58" s="1193" t="s">
        <v>202</v>
      </c>
      <c r="C58" s="1193" t="s">
        <v>203</v>
      </c>
      <c r="D58" s="1193" t="s">
        <v>204</v>
      </c>
      <c r="E58" s="5416"/>
      <c r="F58" s="5416"/>
      <c r="G58" s="5416"/>
      <c r="H58" s="5416"/>
      <c r="I58" s="5217"/>
      <c r="J58" s="5217"/>
      <c r="K58" s="5235"/>
      <c r="L58" s="1193"/>
      <c r="M58" s="1236"/>
      <c r="Q58" s="5385"/>
      <c r="R58" s="5385"/>
      <c r="S58" s="1257"/>
      <c r="T58" s="292"/>
      <c r="U58" s="1204"/>
      <c r="V58" s="225" t="s">
        <v>483</v>
      </c>
      <c r="W58" s="303"/>
      <c r="X58" s="303"/>
      <c r="Y58" s="303"/>
      <c r="Z58" s="303"/>
      <c r="AA58" s="303"/>
      <c r="AB58" s="303"/>
      <c r="AC58" s="5387"/>
      <c r="AD58" s="5245"/>
      <c r="AE58" s="5387"/>
      <c r="AF58" s="5245"/>
      <c r="AG58" s="303"/>
      <c r="AH58" s="303"/>
      <c r="AI58" s="303"/>
      <c r="AJ58" s="303"/>
      <c r="AK58" s="303"/>
      <c r="AL58" s="5387"/>
      <c r="AM58" s="5245"/>
      <c r="AN58" s="5387"/>
      <c r="AO58" s="5245"/>
      <c r="AP58" s="4628"/>
      <c r="AQ58" s="4629"/>
      <c r="AR58" s="4630"/>
      <c r="AS58" s="4631"/>
      <c r="AT58" s="4632"/>
      <c r="AU58" s="5387"/>
      <c r="AV58" s="5245"/>
      <c r="AW58" s="5387"/>
      <c r="AX58" s="5245"/>
      <c r="AY58" s="4633"/>
      <c r="AZ58" s="4634"/>
      <c r="BA58" s="4635"/>
      <c r="BB58" s="4636"/>
      <c r="BC58" s="4637"/>
      <c r="BD58" s="5387"/>
      <c r="BE58" s="5245"/>
      <c r="BF58" s="5387"/>
      <c r="BG58" s="5245"/>
      <c r="BH58" s="4638"/>
      <c r="BI58" s="4639"/>
      <c r="BJ58" s="4640"/>
      <c r="BK58" s="4641"/>
      <c r="BL58" s="4642"/>
      <c r="BM58" s="5387"/>
      <c r="BN58" s="5245"/>
      <c r="BO58" s="5387"/>
      <c r="BP58" s="5245"/>
      <c r="BQ58" s="4643"/>
      <c r="BR58" s="4644"/>
      <c r="BS58" s="4645"/>
      <c r="BT58" s="4646"/>
      <c r="BU58" s="4647"/>
      <c r="BV58" s="5387"/>
      <c r="BW58" s="5245"/>
      <c r="BX58" s="5387"/>
      <c r="BY58" s="5245"/>
      <c r="BZ58" s="4648"/>
      <c r="CA58" s="4649"/>
      <c r="CB58" s="4650"/>
      <c r="CC58" s="4651"/>
      <c r="CD58" s="4652"/>
      <c r="CE58" s="5387"/>
      <c r="CF58" s="5245"/>
      <c r="CG58" s="5387"/>
      <c r="CH58" s="5245"/>
      <c r="CI58" s="4653"/>
      <c r="CJ58" s="4654"/>
      <c r="CK58" s="4655"/>
      <c r="CL58" s="4656"/>
      <c r="CM58" s="4657"/>
      <c r="CN58" s="5387"/>
      <c r="CO58" s="5245"/>
      <c r="CP58" s="5387"/>
      <c r="CQ58" s="5245"/>
      <c r="CR58" s="4658"/>
      <c r="CS58" s="4659"/>
      <c r="CT58" s="4660"/>
      <c r="CU58" s="4661"/>
      <c r="CV58" s="4662"/>
      <c r="CW58" s="5387"/>
      <c r="CX58" s="5245"/>
      <c r="CY58" s="5387"/>
      <c r="CZ58" s="5245"/>
      <c r="DA58" s="4663"/>
      <c r="DB58" s="4664"/>
      <c r="DC58" s="4665"/>
      <c r="DD58" s="4666"/>
      <c r="DE58" s="4667"/>
      <c r="DF58" s="5387"/>
      <c r="DG58" s="5245"/>
      <c r="DH58" s="5387"/>
      <c r="DI58" s="5245"/>
      <c r="DJ58" s="4668"/>
      <c r="DK58" s="4669"/>
      <c r="DL58" s="4670"/>
      <c r="DM58" s="4671"/>
      <c r="DN58" s="4672"/>
      <c r="DO58" s="5387"/>
      <c r="DP58" s="5245"/>
      <c r="DQ58" s="5387"/>
      <c r="DR58" s="5245"/>
      <c r="DS58" s="261"/>
      <c r="DT58" s="5406"/>
      <c r="DV58" s="436"/>
      <c r="DW58" s="436" t="str">
        <f t="shared" si="2"/>
        <v>Добавить наименование поставщика</v>
      </c>
      <c r="DX58" s="436"/>
      <c r="DY58" s="436"/>
      <c r="DZ58" s="1081">
        <v>11</v>
      </c>
    </row>
    <row r="59" spans="1:130" ht="11.45" customHeight="1">
      <c r="A59" s="1193" t="s">
        <v>201</v>
      </c>
      <c r="B59" s="1193" t="s">
        <v>202</v>
      </c>
      <c r="C59" s="1193" t="s">
        <v>203</v>
      </c>
      <c r="D59" s="1193" t="s">
        <v>204</v>
      </c>
      <c r="E59" s="5416"/>
      <c r="F59" s="5416"/>
      <c r="G59" s="5416"/>
      <c r="H59" s="5416"/>
      <c r="I59" s="5217"/>
      <c r="J59" s="5235"/>
      <c r="K59" s="1193"/>
      <c r="L59" s="1193"/>
      <c r="M59" s="1236"/>
      <c r="Q59" s="5385"/>
      <c r="R59" s="5385"/>
      <c r="S59" s="1257"/>
      <c r="T59" s="292"/>
      <c r="U59" s="1204"/>
      <c r="V59" s="224" t="s">
        <v>438</v>
      </c>
      <c r="W59" s="303"/>
      <c r="X59" s="303"/>
      <c r="Y59" s="303"/>
      <c r="Z59" s="303"/>
      <c r="AA59" s="303"/>
      <c r="AB59" s="303"/>
      <c r="AC59" s="1334"/>
      <c r="AD59" s="1334"/>
      <c r="AE59" s="1334"/>
      <c r="AF59" s="1334"/>
      <c r="AG59" s="303"/>
      <c r="AH59" s="303"/>
      <c r="AI59" s="303"/>
      <c r="AJ59" s="303"/>
      <c r="AK59" s="303"/>
      <c r="AL59" s="303"/>
      <c r="AM59" s="303"/>
      <c r="AN59" s="303"/>
      <c r="AO59" s="303"/>
      <c r="AP59" s="4673"/>
      <c r="AQ59" s="4674"/>
      <c r="AR59" s="4675"/>
      <c r="AS59" s="4676"/>
      <c r="AT59" s="4677"/>
      <c r="AU59" s="4678"/>
      <c r="AV59" s="4679"/>
      <c r="AW59" s="4680"/>
      <c r="AX59" s="4681"/>
      <c r="AY59" s="4682"/>
      <c r="AZ59" s="4683"/>
      <c r="BA59" s="4684"/>
      <c r="BB59" s="4685"/>
      <c r="BC59" s="4686"/>
      <c r="BD59" s="4687"/>
      <c r="BE59" s="4688"/>
      <c r="BF59" s="4689"/>
      <c r="BG59" s="4690"/>
      <c r="BH59" s="4691"/>
      <c r="BI59" s="4692"/>
      <c r="BJ59" s="4693"/>
      <c r="BK59" s="4694"/>
      <c r="BL59" s="4695"/>
      <c r="BM59" s="4696"/>
      <c r="BN59" s="4697"/>
      <c r="BO59" s="4698"/>
      <c r="BP59" s="4699"/>
      <c r="BQ59" s="4700"/>
      <c r="BR59" s="4701"/>
      <c r="BS59" s="4702"/>
      <c r="BT59" s="4703"/>
      <c r="BU59" s="4704"/>
      <c r="BV59" s="4705"/>
      <c r="BW59" s="4706"/>
      <c r="BX59" s="4707"/>
      <c r="BY59" s="4708"/>
      <c r="BZ59" s="4709"/>
      <c r="CA59" s="4710"/>
      <c r="CB59" s="4711"/>
      <c r="CC59" s="4712"/>
      <c r="CD59" s="4713"/>
      <c r="CE59" s="4714"/>
      <c r="CF59" s="4715"/>
      <c r="CG59" s="4716"/>
      <c r="CH59" s="4717"/>
      <c r="CI59" s="4718"/>
      <c r="CJ59" s="4719"/>
      <c r="CK59" s="4720"/>
      <c r="CL59" s="4721"/>
      <c r="CM59" s="4722"/>
      <c r="CN59" s="4723"/>
      <c r="CO59" s="4724"/>
      <c r="CP59" s="4725"/>
      <c r="CQ59" s="4726"/>
      <c r="CR59" s="4727"/>
      <c r="CS59" s="4728"/>
      <c r="CT59" s="4729"/>
      <c r="CU59" s="4730"/>
      <c r="CV59" s="4731"/>
      <c r="CW59" s="4732"/>
      <c r="CX59" s="4733"/>
      <c r="CY59" s="4734"/>
      <c r="CZ59" s="4735"/>
      <c r="DA59" s="4736"/>
      <c r="DB59" s="4737"/>
      <c r="DC59" s="4738"/>
      <c r="DD59" s="4739"/>
      <c r="DE59" s="4740"/>
      <c r="DF59" s="4741"/>
      <c r="DG59" s="4742"/>
      <c r="DH59" s="4743"/>
      <c r="DI59" s="4744"/>
      <c r="DJ59" s="4745"/>
      <c r="DK59" s="4746"/>
      <c r="DL59" s="4747"/>
      <c r="DM59" s="4748"/>
      <c r="DN59" s="4749"/>
      <c r="DO59" s="4750"/>
      <c r="DP59" s="4751"/>
      <c r="DQ59" s="4752"/>
      <c r="DR59" s="5195"/>
      <c r="DS59" s="261"/>
      <c r="DT59" s="5407"/>
      <c r="DV59" s="436"/>
      <c r="DW59" s="436" t="str">
        <f t="shared" si="2"/>
        <v>Добавить вид теплоносителя (параметры теплоносителя)</v>
      </c>
      <c r="DX59" s="436"/>
      <c r="DY59" s="436"/>
      <c r="DZ59" s="1081">
        <v>11</v>
      </c>
    </row>
    <row r="60" spans="1:130" s="1774" customFormat="1" ht="21" customHeight="1">
      <c r="A60" s="1895"/>
      <c r="B60" s="1895"/>
      <c r="C60" s="1895"/>
      <c r="D60" s="1895"/>
      <c r="E60" s="5416"/>
      <c r="F60" s="5416"/>
      <c r="G60" s="5416"/>
      <c r="H60" s="5416"/>
      <c r="I60" s="5217"/>
      <c r="J60" s="5235" t="str">
        <f>I53&amp;".2"</f>
        <v>1.1.1.1.1.2</v>
      </c>
      <c r="K60" s="1895"/>
      <c r="L60" s="1895"/>
      <c r="M60" s="2004" t="s">
        <v>433</v>
      </c>
      <c r="N60" s="1561"/>
      <c r="O60" s="1561"/>
      <c r="P60" s="2015"/>
      <c r="Q60" s="5385"/>
      <c r="R60" s="5408" t="s">
        <v>166</v>
      </c>
      <c r="S60" s="1568"/>
      <c r="T60" s="293"/>
      <c r="U60" s="2012" t="str">
        <f>$J60</f>
        <v>1.1.1.1.1.2</v>
      </c>
      <c r="V60" s="223" t="s">
        <v>434</v>
      </c>
      <c r="W60" s="237"/>
      <c r="X60" s="5366"/>
      <c r="Y60" s="5367"/>
      <c r="Z60" s="5367"/>
      <c r="AA60" s="5367"/>
      <c r="AB60" s="5367"/>
      <c r="AC60" s="5362"/>
      <c r="AD60" s="5362"/>
      <c r="AE60" s="5362"/>
      <c r="AF60" s="5434"/>
      <c r="AG60" s="5366" t="s">
        <v>479</v>
      </c>
      <c r="AH60" s="5367"/>
      <c r="AI60" s="5367"/>
      <c r="AJ60" s="5367"/>
      <c r="AK60" s="5367"/>
      <c r="AL60" s="5367"/>
      <c r="AM60" s="5367"/>
      <c r="AN60" s="5367"/>
      <c r="AO60" s="5367"/>
      <c r="AP60" s="5366"/>
      <c r="AQ60" s="5367"/>
      <c r="AR60" s="5367"/>
      <c r="AS60" s="5367"/>
      <c r="AT60" s="5367"/>
      <c r="AU60" s="5362"/>
      <c r="AV60" s="5362"/>
      <c r="AW60" s="5362"/>
      <c r="AX60" s="5434"/>
      <c r="AY60" s="5366"/>
      <c r="AZ60" s="5367"/>
      <c r="BA60" s="5367"/>
      <c r="BB60" s="5367"/>
      <c r="BC60" s="5367"/>
      <c r="BD60" s="5362"/>
      <c r="BE60" s="5362"/>
      <c r="BF60" s="5362"/>
      <c r="BG60" s="5434"/>
      <c r="BH60" s="5366"/>
      <c r="BI60" s="5367"/>
      <c r="BJ60" s="5367"/>
      <c r="BK60" s="5367"/>
      <c r="BL60" s="5367"/>
      <c r="BM60" s="5362"/>
      <c r="BN60" s="5362"/>
      <c r="BO60" s="5362"/>
      <c r="BP60" s="5434"/>
      <c r="BQ60" s="5366"/>
      <c r="BR60" s="5367"/>
      <c r="BS60" s="5367"/>
      <c r="BT60" s="5367"/>
      <c r="BU60" s="5367"/>
      <c r="BV60" s="5362"/>
      <c r="BW60" s="5362"/>
      <c r="BX60" s="5362"/>
      <c r="BY60" s="5434"/>
      <c r="BZ60" s="5366"/>
      <c r="CA60" s="5367"/>
      <c r="CB60" s="5367"/>
      <c r="CC60" s="5367"/>
      <c r="CD60" s="5367"/>
      <c r="CE60" s="5362"/>
      <c r="CF60" s="5362"/>
      <c r="CG60" s="5362"/>
      <c r="CH60" s="5434"/>
      <c r="CI60" s="5366"/>
      <c r="CJ60" s="5367"/>
      <c r="CK60" s="5367"/>
      <c r="CL60" s="5367"/>
      <c r="CM60" s="5367"/>
      <c r="CN60" s="5362"/>
      <c r="CO60" s="5362"/>
      <c r="CP60" s="5362"/>
      <c r="CQ60" s="5434"/>
      <c r="CR60" s="5366"/>
      <c r="CS60" s="5367"/>
      <c r="CT60" s="5367"/>
      <c r="CU60" s="5367"/>
      <c r="CV60" s="5367"/>
      <c r="CW60" s="5362"/>
      <c r="CX60" s="5362"/>
      <c r="CY60" s="5362"/>
      <c r="CZ60" s="5434"/>
      <c r="DA60" s="5366"/>
      <c r="DB60" s="5367"/>
      <c r="DC60" s="5367"/>
      <c r="DD60" s="5367"/>
      <c r="DE60" s="5367"/>
      <c r="DF60" s="5362"/>
      <c r="DG60" s="5362"/>
      <c r="DH60" s="5362"/>
      <c r="DI60" s="5434"/>
      <c r="DJ60" s="5366"/>
      <c r="DK60" s="5367"/>
      <c r="DL60" s="5367"/>
      <c r="DM60" s="5367"/>
      <c r="DN60" s="5367"/>
      <c r="DO60" s="5362"/>
      <c r="DP60" s="5362"/>
      <c r="DQ60" s="5362"/>
      <c r="DR60" s="5435"/>
      <c r="DS60" s="5368"/>
      <c r="DT60" s="1184" t="s">
        <v>435</v>
      </c>
      <c r="DU60" s="1568"/>
      <c r="DV60" s="1550"/>
      <c r="DW60" s="1550" t="str">
        <f t="shared" si="2"/>
        <v>Группа потребителей</v>
      </c>
      <c r="DX60" s="1550"/>
      <c r="DY60" s="1550"/>
      <c r="DZ60" s="1561">
        <v>0</v>
      </c>
    </row>
    <row r="61" spans="1:130" s="1774" customFormat="1" ht="42" customHeight="1">
      <c r="A61" s="1895"/>
      <c r="B61" s="1895"/>
      <c r="C61" s="1895"/>
      <c r="D61" s="1895"/>
      <c r="E61" s="5416"/>
      <c r="F61" s="5416"/>
      <c r="G61" s="5416"/>
      <c r="H61" s="5416"/>
      <c r="I61" s="5217"/>
      <c r="J61" s="5217" t="str">
        <f>I53&amp;".1"</f>
        <v>1.1.1.1.1.1</v>
      </c>
      <c r="K61" s="5235" t="str">
        <f>J60&amp;".1"</f>
        <v>1.1.1.1.1.2.1</v>
      </c>
      <c r="L61" s="1999"/>
      <c r="M61" s="2004" t="s">
        <v>436</v>
      </c>
      <c r="N61" s="1561"/>
      <c r="O61" s="1561"/>
      <c r="P61" s="1561"/>
      <c r="Q61" s="5385"/>
      <c r="R61" s="5385"/>
      <c r="S61" s="5385">
        <v>1</v>
      </c>
      <c r="T61" s="293"/>
      <c r="U61" s="2012" t="str">
        <f>$K61</f>
        <v>1.1.1.1.1.2.1</v>
      </c>
      <c r="V61" s="1273" t="s">
        <v>493</v>
      </c>
      <c r="W61" s="237"/>
      <c r="X61" s="687"/>
      <c r="Y61" s="687"/>
      <c r="Z61" s="687"/>
      <c r="AA61" s="687"/>
      <c r="AB61" s="1331"/>
      <c r="AC61" s="5386"/>
      <c r="AD61" s="5245" t="s">
        <v>65</v>
      </c>
      <c r="AE61" s="5386"/>
      <c r="AF61" s="5245" t="s">
        <v>65</v>
      </c>
      <c r="AG61" s="1333"/>
      <c r="AH61" s="687"/>
      <c r="AI61" s="687"/>
      <c r="AJ61" s="687"/>
      <c r="AK61" s="1183"/>
      <c r="AL61" s="5386">
        <v>45292</v>
      </c>
      <c r="AM61" s="5245" t="s">
        <v>65</v>
      </c>
      <c r="AN61" s="5386">
        <v>45473</v>
      </c>
      <c r="AO61" s="5245" t="s">
        <v>65</v>
      </c>
      <c r="AP61" s="687"/>
      <c r="AQ61" s="687"/>
      <c r="AR61" s="687"/>
      <c r="AS61" s="687"/>
      <c r="AT61" s="1331"/>
      <c r="AU61" s="5386">
        <v>45474</v>
      </c>
      <c r="AV61" s="5245" t="s">
        <v>65</v>
      </c>
      <c r="AW61" s="5386">
        <v>45657</v>
      </c>
      <c r="AX61" s="5245" t="s">
        <v>65</v>
      </c>
      <c r="AY61" s="687"/>
      <c r="AZ61" s="687"/>
      <c r="BA61" s="687"/>
      <c r="BB61" s="687"/>
      <c r="BC61" s="1331"/>
      <c r="BD61" s="5386">
        <v>45658</v>
      </c>
      <c r="BE61" s="5245" t="s">
        <v>65</v>
      </c>
      <c r="BF61" s="5386">
        <v>45838</v>
      </c>
      <c r="BG61" s="5245" t="s">
        <v>65</v>
      </c>
      <c r="BH61" s="687"/>
      <c r="BI61" s="687"/>
      <c r="BJ61" s="687"/>
      <c r="BK61" s="687"/>
      <c r="BL61" s="1331"/>
      <c r="BM61" s="5386">
        <v>45839</v>
      </c>
      <c r="BN61" s="5245" t="s">
        <v>65</v>
      </c>
      <c r="BO61" s="5386">
        <v>46022</v>
      </c>
      <c r="BP61" s="5245" t="s">
        <v>65</v>
      </c>
      <c r="BQ61" s="687"/>
      <c r="BR61" s="687"/>
      <c r="BS61" s="687"/>
      <c r="BT61" s="687"/>
      <c r="BU61" s="1331"/>
      <c r="BV61" s="5386">
        <v>46023</v>
      </c>
      <c r="BW61" s="5245" t="s">
        <v>65</v>
      </c>
      <c r="BX61" s="5386">
        <v>46203</v>
      </c>
      <c r="BY61" s="5245" t="s">
        <v>65</v>
      </c>
      <c r="BZ61" s="687"/>
      <c r="CA61" s="687"/>
      <c r="CB61" s="687"/>
      <c r="CC61" s="687"/>
      <c r="CD61" s="1331"/>
      <c r="CE61" s="5386">
        <v>46204</v>
      </c>
      <c r="CF61" s="5245" t="s">
        <v>65</v>
      </c>
      <c r="CG61" s="5386">
        <v>46387</v>
      </c>
      <c r="CH61" s="5245" t="s">
        <v>65</v>
      </c>
      <c r="CI61" s="687"/>
      <c r="CJ61" s="687"/>
      <c r="CK61" s="687"/>
      <c r="CL61" s="687"/>
      <c r="CM61" s="1331"/>
      <c r="CN61" s="5386">
        <v>46388</v>
      </c>
      <c r="CO61" s="5245" t="s">
        <v>65</v>
      </c>
      <c r="CP61" s="5386">
        <v>46568</v>
      </c>
      <c r="CQ61" s="5245" t="s">
        <v>65</v>
      </c>
      <c r="CR61" s="687"/>
      <c r="CS61" s="687"/>
      <c r="CT61" s="687"/>
      <c r="CU61" s="687"/>
      <c r="CV61" s="1331"/>
      <c r="CW61" s="5386">
        <v>46569</v>
      </c>
      <c r="CX61" s="5245" t="s">
        <v>65</v>
      </c>
      <c r="CY61" s="5386">
        <v>46752</v>
      </c>
      <c r="CZ61" s="5245" t="s">
        <v>65</v>
      </c>
      <c r="DA61" s="687"/>
      <c r="DB61" s="687"/>
      <c r="DC61" s="687"/>
      <c r="DD61" s="687"/>
      <c r="DE61" s="1331"/>
      <c r="DF61" s="5386">
        <v>46753</v>
      </c>
      <c r="DG61" s="5245" t="s">
        <v>65</v>
      </c>
      <c r="DH61" s="5386">
        <v>46934</v>
      </c>
      <c r="DI61" s="5245" t="s">
        <v>65</v>
      </c>
      <c r="DJ61" s="687"/>
      <c r="DK61" s="687"/>
      <c r="DL61" s="687"/>
      <c r="DM61" s="687"/>
      <c r="DN61" s="1331"/>
      <c r="DO61" s="5386">
        <v>46935</v>
      </c>
      <c r="DP61" s="5245" t="s">
        <v>65</v>
      </c>
      <c r="DQ61" s="5386">
        <v>47118</v>
      </c>
      <c r="DR61" s="5245" t="s">
        <v>65</v>
      </c>
      <c r="DS61" s="262"/>
      <c r="DT61" s="1233" t="s">
        <v>481</v>
      </c>
      <c r="DU61" s="1568" t="e">
        <f ca="1">STRCHECKDATE(X63:DS63)</f>
        <v>#NAME?</v>
      </c>
      <c r="DV61" s="1550"/>
      <c r="DW61" s="1550" t="str">
        <f t="shared" si="2"/>
        <v>горячая вода в системе централизованного теплоснабжения на горячее водоснабжение</v>
      </c>
      <c r="DX61" s="1550"/>
      <c r="DY61" s="1550"/>
      <c r="DZ61" s="1561">
        <v>0</v>
      </c>
    </row>
    <row r="62" spans="1:130" s="1774" customFormat="1" ht="46.5" customHeight="1">
      <c r="A62" s="1895"/>
      <c r="B62" s="1895"/>
      <c r="C62" s="1895"/>
      <c r="D62" s="1895"/>
      <c r="E62" s="5416"/>
      <c r="F62" s="5416"/>
      <c r="G62" s="5416"/>
      <c r="H62" s="5416"/>
      <c r="I62" s="5217"/>
      <c r="J62" s="5217" t="str">
        <f>I53&amp;".1"</f>
        <v>1.1.1.1.1.1</v>
      </c>
      <c r="K62" s="5217"/>
      <c r="L62" s="5235" t="str">
        <f>K61&amp;".1"</f>
        <v>1.1.1.1.1.2.1.1</v>
      </c>
      <c r="M62" s="2004"/>
      <c r="N62" s="1561"/>
      <c r="O62" s="1561"/>
      <c r="P62" s="1561"/>
      <c r="Q62" s="5385"/>
      <c r="R62" s="5385"/>
      <c r="S62" s="5385"/>
      <c r="T62" s="293"/>
      <c r="U62" s="2012" t="str">
        <f>$L62</f>
        <v>1.1.1.1.1.2.1.1</v>
      </c>
      <c r="V62" s="1317" t="s">
        <v>495</v>
      </c>
      <c r="W62" s="237"/>
      <c r="X62" s="262"/>
      <c r="Y62" s="687"/>
      <c r="Z62" s="687"/>
      <c r="AA62" s="687"/>
      <c r="AB62" s="1331"/>
      <c r="AC62" s="5387"/>
      <c r="AD62" s="5245"/>
      <c r="AE62" s="5387"/>
      <c r="AF62" s="5245"/>
      <c r="AG62" s="1333"/>
      <c r="AH62" s="687">
        <v>43.42</v>
      </c>
      <c r="AI62" s="687">
        <v>1368.99</v>
      </c>
      <c r="AJ62" s="687"/>
      <c r="AK62" s="1183"/>
      <c r="AL62" s="5387"/>
      <c r="AM62" s="5245"/>
      <c r="AN62" s="5387"/>
      <c r="AO62" s="5245"/>
      <c r="AP62" s="262"/>
      <c r="AQ62" s="687">
        <v>45.76</v>
      </c>
      <c r="AR62" s="687">
        <v>1465.37</v>
      </c>
      <c r="AS62" s="687"/>
      <c r="AT62" s="1331"/>
      <c r="AU62" s="5387"/>
      <c r="AV62" s="5245"/>
      <c r="AW62" s="5387"/>
      <c r="AX62" s="5245"/>
      <c r="AY62" s="262"/>
      <c r="AZ62" s="687">
        <v>45.76</v>
      </c>
      <c r="BA62" s="687">
        <v>1468.64</v>
      </c>
      <c r="BB62" s="687"/>
      <c r="BC62" s="1331"/>
      <c r="BD62" s="5387"/>
      <c r="BE62" s="5245"/>
      <c r="BF62" s="5387"/>
      <c r="BG62" s="5245"/>
      <c r="BH62" s="262"/>
      <c r="BI62" s="687">
        <v>50.17</v>
      </c>
      <c r="BJ62" s="687">
        <v>1591.98</v>
      </c>
      <c r="BK62" s="687"/>
      <c r="BL62" s="1331"/>
      <c r="BM62" s="5387"/>
      <c r="BN62" s="5245"/>
      <c r="BO62" s="5387"/>
      <c r="BP62" s="5245"/>
      <c r="BQ62" s="262"/>
      <c r="BR62" s="687">
        <v>50.17</v>
      </c>
      <c r="BS62" s="687">
        <v>1591.98</v>
      </c>
      <c r="BT62" s="687"/>
      <c r="BU62" s="1331"/>
      <c r="BV62" s="5387"/>
      <c r="BW62" s="5245"/>
      <c r="BX62" s="5387"/>
      <c r="BY62" s="5245"/>
      <c r="BZ62" s="262"/>
      <c r="CA62" s="687">
        <v>51.55</v>
      </c>
      <c r="CB62" s="687">
        <v>1620.49</v>
      </c>
      <c r="CC62" s="687"/>
      <c r="CD62" s="1331"/>
      <c r="CE62" s="5387"/>
      <c r="CF62" s="5245"/>
      <c r="CG62" s="5387"/>
      <c r="CH62" s="5245"/>
      <c r="CI62" s="262"/>
      <c r="CJ62" s="687">
        <v>51.55</v>
      </c>
      <c r="CK62" s="687">
        <v>1620.49</v>
      </c>
      <c r="CL62" s="687"/>
      <c r="CM62" s="1331"/>
      <c r="CN62" s="5387"/>
      <c r="CO62" s="5245"/>
      <c r="CP62" s="5387"/>
      <c r="CQ62" s="5245"/>
      <c r="CR62" s="262"/>
      <c r="CS62" s="687">
        <v>54.79</v>
      </c>
      <c r="CT62" s="687">
        <v>1716.79</v>
      </c>
      <c r="CU62" s="687"/>
      <c r="CV62" s="1331"/>
      <c r="CW62" s="5387"/>
      <c r="CX62" s="5245"/>
      <c r="CY62" s="5387"/>
      <c r="CZ62" s="5245"/>
      <c r="DA62" s="262"/>
      <c r="DB62" s="687">
        <v>54.79</v>
      </c>
      <c r="DC62" s="687">
        <v>1716.79</v>
      </c>
      <c r="DD62" s="687"/>
      <c r="DE62" s="1331"/>
      <c r="DF62" s="5387"/>
      <c r="DG62" s="5245"/>
      <c r="DH62" s="5387"/>
      <c r="DI62" s="5245"/>
      <c r="DJ62" s="262"/>
      <c r="DK62" s="687">
        <v>56.42</v>
      </c>
      <c r="DL62" s="687">
        <v>1735.07</v>
      </c>
      <c r="DM62" s="687"/>
      <c r="DN62" s="1331"/>
      <c r="DO62" s="5387"/>
      <c r="DP62" s="5245"/>
      <c r="DQ62" s="5387"/>
      <c r="DR62" s="5245"/>
      <c r="DS62" s="262"/>
      <c r="DT62" s="5405" t="s">
        <v>482</v>
      </c>
      <c r="DU62" s="1568"/>
      <c r="DV62" s="1550"/>
      <c r="DW62" s="1550"/>
      <c r="DX62" s="1550"/>
      <c r="DY62" s="1550"/>
      <c r="DZ62" s="1561">
        <v>0</v>
      </c>
    </row>
    <row r="63" spans="1:130" s="1774" customFormat="1" ht="14.25" customHeight="1">
      <c r="A63" s="1895"/>
      <c r="B63" s="1895"/>
      <c r="C63" s="1895"/>
      <c r="D63" s="1895"/>
      <c r="E63" s="5416"/>
      <c r="F63" s="5416"/>
      <c r="G63" s="5416"/>
      <c r="H63" s="5416"/>
      <c r="I63" s="5217"/>
      <c r="J63" s="5217" t="str">
        <f>I53&amp;".1"</f>
        <v>1.1.1.1.1.1</v>
      </c>
      <c r="K63" s="5217"/>
      <c r="L63" s="5235"/>
      <c r="M63" s="2004"/>
      <c r="N63" s="1561"/>
      <c r="O63" s="1561"/>
      <c r="P63" s="1561"/>
      <c r="Q63" s="5385"/>
      <c r="R63" s="5385"/>
      <c r="S63" s="5385"/>
      <c r="T63" s="293"/>
      <c r="U63" s="2019"/>
      <c r="V63" s="237"/>
      <c r="W63" s="237"/>
      <c r="X63" s="262"/>
      <c r="Y63" s="262"/>
      <c r="Z63" s="262"/>
      <c r="AA63" s="262"/>
      <c r="AB63" s="1332" t="str">
        <f>AC61&amp;"-"&amp;AE61</f>
        <v>-</v>
      </c>
      <c r="AC63" s="5387"/>
      <c r="AD63" s="5245"/>
      <c r="AE63" s="5387"/>
      <c r="AF63" s="5245"/>
      <c r="AG63" s="1308"/>
      <c r="AH63" s="262"/>
      <c r="AI63" s="262"/>
      <c r="AJ63" s="262"/>
      <c r="AK63" s="265" t="str">
        <f>AL61&amp;"-"&amp;AN61</f>
        <v>45292-45473</v>
      </c>
      <c r="AL63" s="5387"/>
      <c r="AM63" s="5245"/>
      <c r="AN63" s="5387"/>
      <c r="AO63" s="5245"/>
      <c r="AP63" s="262"/>
      <c r="AQ63" s="262"/>
      <c r="AR63" s="262"/>
      <c r="AS63" s="262"/>
      <c r="AT63" s="1332" t="str">
        <f>AU61&amp;"-"&amp;AW61</f>
        <v>45474-45657</v>
      </c>
      <c r="AU63" s="5387"/>
      <c r="AV63" s="5245"/>
      <c r="AW63" s="5387"/>
      <c r="AX63" s="5245"/>
      <c r="AY63" s="262"/>
      <c r="AZ63" s="262"/>
      <c r="BA63" s="262"/>
      <c r="BB63" s="262"/>
      <c r="BC63" s="1332" t="str">
        <f>BD61&amp;"-"&amp;BF61</f>
        <v>45658-45838</v>
      </c>
      <c r="BD63" s="5387"/>
      <c r="BE63" s="5245"/>
      <c r="BF63" s="5387"/>
      <c r="BG63" s="5245"/>
      <c r="BH63" s="262"/>
      <c r="BI63" s="262"/>
      <c r="BJ63" s="262"/>
      <c r="BK63" s="262"/>
      <c r="BL63" s="1332" t="str">
        <f>BM61&amp;"-"&amp;BO61</f>
        <v>45839-46022</v>
      </c>
      <c r="BM63" s="5387"/>
      <c r="BN63" s="5245"/>
      <c r="BO63" s="5387"/>
      <c r="BP63" s="5245"/>
      <c r="BQ63" s="262"/>
      <c r="BR63" s="262"/>
      <c r="BS63" s="262"/>
      <c r="BT63" s="262"/>
      <c r="BU63" s="1332" t="str">
        <f>BV61&amp;"-"&amp;BX61</f>
        <v>46023-46203</v>
      </c>
      <c r="BV63" s="5387"/>
      <c r="BW63" s="5245"/>
      <c r="BX63" s="5387"/>
      <c r="BY63" s="5245"/>
      <c r="BZ63" s="262"/>
      <c r="CA63" s="262"/>
      <c r="CB63" s="262"/>
      <c r="CC63" s="262"/>
      <c r="CD63" s="1332" t="str">
        <f>CE61&amp;"-"&amp;CG61</f>
        <v>46204-46387</v>
      </c>
      <c r="CE63" s="5387"/>
      <c r="CF63" s="5245"/>
      <c r="CG63" s="5387"/>
      <c r="CH63" s="5245"/>
      <c r="CI63" s="262"/>
      <c r="CJ63" s="262"/>
      <c r="CK63" s="262"/>
      <c r="CL63" s="262"/>
      <c r="CM63" s="1332" t="str">
        <f>CN61&amp;"-"&amp;CP61</f>
        <v>46388-46568</v>
      </c>
      <c r="CN63" s="5387"/>
      <c r="CO63" s="5245"/>
      <c r="CP63" s="5387"/>
      <c r="CQ63" s="5245"/>
      <c r="CR63" s="262"/>
      <c r="CS63" s="262"/>
      <c r="CT63" s="262"/>
      <c r="CU63" s="262"/>
      <c r="CV63" s="1332" t="str">
        <f>CW61&amp;"-"&amp;CY61</f>
        <v>46569-46752</v>
      </c>
      <c r="CW63" s="5387"/>
      <c r="CX63" s="5245"/>
      <c r="CY63" s="5387"/>
      <c r="CZ63" s="5245"/>
      <c r="DA63" s="262"/>
      <c r="DB63" s="262"/>
      <c r="DC63" s="262"/>
      <c r="DD63" s="262"/>
      <c r="DE63" s="1332" t="str">
        <f>DF61&amp;"-"&amp;DH61</f>
        <v>46753-46934</v>
      </c>
      <c r="DF63" s="5387"/>
      <c r="DG63" s="5245"/>
      <c r="DH63" s="5387"/>
      <c r="DI63" s="5245"/>
      <c r="DJ63" s="262"/>
      <c r="DK63" s="262"/>
      <c r="DL63" s="262"/>
      <c r="DM63" s="262"/>
      <c r="DN63" s="1332" t="str">
        <f>DO61&amp;"-"&amp;DQ61</f>
        <v>46935-47118</v>
      </c>
      <c r="DO63" s="5387"/>
      <c r="DP63" s="5245"/>
      <c r="DQ63" s="5387"/>
      <c r="DR63" s="5245"/>
      <c r="DS63" s="262"/>
      <c r="DT63" s="5406"/>
      <c r="DU63" s="1568"/>
      <c r="DV63" s="1550"/>
      <c r="DW63" s="1550" t="str">
        <f>IF(V63="","",V63)</f>
        <v/>
      </c>
      <c r="DX63" s="1550"/>
      <c r="DY63" s="1550"/>
      <c r="DZ63" s="1561">
        <v>0</v>
      </c>
    </row>
    <row r="64" spans="1:130" s="1774" customFormat="1" ht="11.25" customHeight="1">
      <c r="A64" s="1895"/>
      <c r="B64" s="1895"/>
      <c r="C64" s="1895"/>
      <c r="D64" s="1895"/>
      <c r="E64" s="5416"/>
      <c r="F64" s="5416"/>
      <c r="G64" s="5416"/>
      <c r="H64" s="5416"/>
      <c r="I64" s="5217"/>
      <c r="J64" s="5217" t="str">
        <f>I53&amp;".1"</f>
        <v>1.1.1.1.1.1</v>
      </c>
      <c r="K64" s="5235"/>
      <c r="L64" s="1895"/>
      <c r="M64" s="2004"/>
      <c r="N64" s="1561"/>
      <c r="O64" s="1561"/>
      <c r="P64" s="1561"/>
      <c r="Q64" s="5385"/>
      <c r="R64" s="5385"/>
      <c r="S64" s="5385"/>
      <c r="T64" s="293"/>
      <c r="U64" s="4753"/>
      <c r="V64" s="4754" t="s">
        <v>483</v>
      </c>
      <c r="W64" s="4755"/>
      <c r="X64" s="4756"/>
      <c r="Y64" s="4757"/>
      <c r="Z64" s="4758"/>
      <c r="AA64" s="4759"/>
      <c r="AB64" s="4760"/>
      <c r="AC64" s="5387"/>
      <c r="AD64" s="5245"/>
      <c r="AE64" s="5387"/>
      <c r="AF64" s="5245"/>
      <c r="AG64" s="4761"/>
      <c r="AH64" s="4762"/>
      <c r="AI64" s="4763"/>
      <c r="AJ64" s="4764"/>
      <c r="AK64" s="4765"/>
      <c r="AL64" s="5387"/>
      <c r="AM64" s="5245"/>
      <c r="AN64" s="5387"/>
      <c r="AO64" s="5245"/>
      <c r="AP64" s="4766"/>
      <c r="AQ64" s="4767"/>
      <c r="AR64" s="4768"/>
      <c r="AS64" s="4769"/>
      <c r="AT64" s="4770"/>
      <c r="AU64" s="5387"/>
      <c r="AV64" s="5245"/>
      <c r="AW64" s="5387"/>
      <c r="AX64" s="5245"/>
      <c r="AY64" s="4771"/>
      <c r="AZ64" s="4772"/>
      <c r="BA64" s="4773"/>
      <c r="BB64" s="4774"/>
      <c r="BC64" s="4775"/>
      <c r="BD64" s="5387"/>
      <c r="BE64" s="5245"/>
      <c r="BF64" s="5387"/>
      <c r="BG64" s="5245"/>
      <c r="BH64" s="4776"/>
      <c r="BI64" s="4777"/>
      <c r="BJ64" s="4778"/>
      <c r="BK64" s="4779"/>
      <c r="BL64" s="4780"/>
      <c r="BM64" s="5387"/>
      <c r="BN64" s="5245"/>
      <c r="BO64" s="5387"/>
      <c r="BP64" s="5245"/>
      <c r="BQ64" s="4781"/>
      <c r="BR64" s="4782"/>
      <c r="BS64" s="4783"/>
      <c r="BT64" s="4784"/>
      <c r="BU64" s="4785"/>
      <c r="BV64" s="5387"/>
      <c r="BW64" s="5245"/>
      <c r="BX64" s="5387"/>
      <c r="BY64" s="5245"/>
      <c r="BZ64" s="4786"/>
      <c r="CA64" s="4787"/>
      <c r="CB64" s="4788"/>
      <c r="CC64" s="4789"/>
      <c r="CD64" s="4790"/>
      <c r="CE64" s="5387"/>
      <c r="CF64" s="5245"/>
      <c r="CG64" s="5387"/>
      <c r="CH64" s="5245"/>
      <c r="CI64" s="4791"/>
      <c r="CJ64" s="4792"/>
      <c r="CK64" s="4793"/>
      <c r="CL64" s="4794"/>
      <c r="CM64" s="4795"/>
      <c r="CN64" s="5387"/>
      <c r="CO64" s="5245"/>
      <c r="CP64" s="5387"/>
      <c r="CQ64" s="5245"/>
      <c r="CR64" s="4796"/>
      <c r="CS64" s="4797"/>
      <c r="CT64" s="4798"/>
      <c r="CU64" s="4799"/>
      <c r="CV64" s="4800"/>
      <c r="CW64" s="5387"/>
      <c r="CX64" s="5245"/>
      <c r="CY64" s="5387"/>
      <c r="CZ64" s="5245"/>
      <c r="DA64" s="4801"/>
      <c r="DB64" s="4802"/>
      <c r="DC64" s="4803"/>
      <c r="DD64" s="4804"/>
      <c r="DE64" s="4805"/>
      <c r="DF64" s="5387"/>
      <c r="DG64" s="5245"/>
      <c r="DH64" s="5387"/>
      <c r="DI64" s="5245"/>
      <c r="DJ64" s="4806"/>
      <c r="DK64" s="4807"/>
      <c r="DL64" s="4808"/>
      <c r="DM64" s="4809"/>
      <c r="DN64" s="4810"/>
      <c r="DO64" s="5387"/>
      <c r="DP64" s="5245"/>
      <c r="DQ64" s="5387"/>
      <c r="DR64" s="5245"/>
      <c r="DS64" s="4811"/>
      <c r="DT64" s="5406"/>
      <c r="DU64" s="1568"/>
      <c r="DV64" s="1550"/>
      <c r="DW64" s="1550"/>
      <c r="DX64" s="1550"/>
      <c r="DY64" s="1550"/>
      <c r="DZ64" s="1561">
        <v>0</v>
      </c>
    </row>
    <row r="65" spans="1:130" s="1774" customFormat="1" ht="15" customHeight="1">
      <c r="A65" s="1895"/>
      <c r="B65" s="1895"/>
      <c r="C65" s="1895"/>
      <c r="D65" s="1895"/>
      <c r="E65" s="5416"/>
      <c r="F65" s="5416"/>
      <c r="G65" s="5416"/>
      <c r="H65" s="5416"/>
      <c r="I65" s="5217"/>
      <c r="J65" s="5235" t="str">
        <f>I53&amp;".1"</f>
        <v>1.1.1.1.1.1</v>
      </c>
      <c r="K65" s="1895"/>
      <c r="L65" s="1895"/>
      <c r="M65" s="2004"/>
      <c r="N65" s="1561"/>
      <c r="O65" s="1561"/>
      <c r="P65" s="2015"/>
      <c r="Q65" s="5385"/>
      <c r="R65" s="5385"/>
      <c r="S65" s="2014"/>
      <c r="T65" s="292"/>
      <c r="U65" s="4812"/>
      <c r="V65" s="4813" t="s">
        <v>438</v>
      </c>
      <c r="W65" s="4814"/>
      <c r="X65" s="4815"/>
      <c r="Y65" s="4816"/>
      <c r="Z65" s="4817"/>
      <c r="AA65" s="4818"/>
      <c r="AB65" s="4819"/>
      <c r="AC65" s="4820"/>
      <c r="AD65" s="4821"/>
      <c r="AE65" s="4822"/>
      <c r="AF65" s="4823"/>
      <c r="AG65" s="4824"/>
      <c r="AH65" s="4825"/>
      <c r="AI65" s="4826"/>
      <c r="AJ65" s="4827"/>
      <c r="AK65" s="4828"/>
      <c r="AL65" s="4829"/>
      <c r="AM65" s="4830"/>
      <c r="AN65" s="4831"/>
      <c r="AO65" s="4832"/>
      <c r="AP65" s="4833"/>
      <c r="AQ65" s="4834"/>
      <c r="AR65" s="4835"/>
      <c r="AS65" s="4836"/>
      <c r="AT65" s="4837"/>
      <c r="AU65" s="4838"/>
      <c r="AV65" s="4839"/>
      <c r="AW65" s="4840"/>
      <c r="AX65" s="4841"/>
      <c r="AY65" s="4842"/>
      <c r="AZ65" s="4843"/>
      <c r="BA65" s="4844"/>
      <c r="BB65" s="4845"/>
      <c r="BC65" s="4846"/>
      <c r="BD65" s="4847"/>
      <c r="BE65" s="4848"/>
      <c r="BF65" s="4849"/>
      <c r="BG65" s="4850"/>
      <c r="BH65" s="4851"/>
      <c r="BI65" s="4852"/>
      <c r="BJ65" s="4853"/>
      <c r="BK65" s="4854"/>
      <c r="BL65" s="4855"/>
      <c r="BM65" s="4856"/>
      <c r="BN65" s="4857"/>
      <c r="BO65" s="4858"/>
      <c r="BP65" s="4859"/>
      <c r="BQ65" s="4860"/>
      <c r="BR65" s="4861"/>
      <c r="BS65" s="4862"/>
      <c r="BT65" s="4863"/>
      <c r="BU65" s="4864"/>
      <c r="BV65" s="4865"/>
      <c r="BW65" s="4866"/>
      <c r="BX65" s="4867"/>
      <c r="BY65" s="4868"/>
      <c r="BZ65" s="4869"/>
      <c r="CA65" s="4870"/>
      <c r="CB65" s="4871"/>
      <c r="CC65" s="4872"/>
      <c r="CD65" s="4873"/>
      <c r="CE65" s="4874"/>
      <c r="CF65" s="4875"/>
      <c r="CG65" s="4876"/>
      <c r="CH65" s="4877"/>
      <c r="CI65" s="4878"/>
      <c r="CJ65" s="4879"/>
      <c r="CK65" s="4880"/>
      <c r="CL65" s="4881"/>
      <c r="CM65" s="4882"/>
      <c r="CN65" s="4883"/>
      <c r="CO65" s="4884"/>
      <c r="CP65" s="4885"/>
      <c r="CQ65" s="4886"/>
      <c r="CR65" s="4887"/>
      <c r="CS65" s="4888"/>
      <c r="CT65" s="4889"/>
      <c r="CU65" s="4890"/>
      <c r="CV65" s="4891"/>
      <c r="CW65" s="4892"/>
      <c r="CX65" s="4893"/>
      <c r="CY65" s="4894"/>
      <c r="CZ65" s="4895"/>
      <c r="DA65" s="4896"/>
      <c r="DB65" s="4897"/>
      <c r="DC65" s="4898"/>
      <c r="DD65" s="4899"/>
      <c r="DE65" s="4900"/>
      <c r="DF65" s="4901"/>
      <c r="DG65" s="4902"/>
      <c r="DH65" s="4903"/>
      <c r="DI65" s="4904"/>
      <c r="DJ65" s="4905"/>
      <c r="DK65" s="4906"/>
      <c r="DL65" s="4907"/>
      <c r="DM65" s="4908"/>
      <c r="DN65" s="4909"/>
      <c r="DO65" s="4910"/>
      <c r="DP65" s="4911"/>
      <c r="DQ65" s="4912"/>
      <c r="DR65" s="5196"/>
      <c r="DS65" s="4913"/>
      <c r="DT65" s="5407"/>
      <c r="DU65" s="1568"/>
      <c r="DV65" s="1550"/>
      <c r="DW65" s="1550" t="str">
        <f>IF(V65="","",V65)</f>
        <v>Добавить вид теплоносителя (параметры теплоносителя)</v>
      </c>
      <c r="DX65" s="1550"/>
      <c r="DY65" s="1550"/>
      <c r="DZ65" s="1561">
        <v>0</v>
      </c>
    </row>
    <row r="66" spans="1:130" s="1774" customFormat="1" ht="21" customHeight="1">
      <c r="A66" s="1895"/>
      <c r="B66" s="1895"/>
      <c r="C66" s="1895"/>
      <c r="D66" s="1895"/>
      <c r="E66" s="5416"/>
      <c r="F66" s="5416"/>
      <c r="G66" s="5416"/>
      <c r="H66" s="5416"/>
      <c r="I66" s="5217"/>
      <c r="J66" s="5235" t="str">
        <f>I53&amp;".3"</f>
        <v>1.1.1.1.1.3</v>
      </c>
      <c r="K66" s="1895"/>
      <c r="L66" s="1895"/>
      <c r="M66" s="2004" t="s">
        <v>433</v>
      </c>
      <c r="N66" s="1561"/>
      <c r="O66" s="1561"/>
      <c r="P66" s="2015"/>
      <c r="Q66" s="5385"/>
      <c r="R66" s="5408" t="s">
        <v>166</v>
      </c>
      <c r="S66" s="1568"/>
      <c r="T66" s="293"/>
      <c r="U66" s="2012" t="str">
        <f>$J66</f>
        <v>1.1.1.1.1.3</v>
      </c>
      <c r="V66" s="223" t="s">
        <v>434</v>
      </c>
      <c r="W66" s="237"/>
      <c r="X66" s="5366"/>
      <c r="Y66" s="5367"/>
      <c r="Z66" s="5367"/>
      <c r="AA66" s="5367"/>
      <c r="AB66" s="5367"/>
      <c r="AC66" s="5362"/>
      <c r="AD66" s="5362"/>
      <c r="AE66" s="5362"/>
      <c r="AF66" s="5434"/>
      <c r="AG66" s="5366" t="s">
        <v>475</v>
      </c>
      <c r="AH66" s="5367"/>
      <c r="AI66" s="5367"/>
      <c r="AJ66" s="5367"/>
      <c r="AK66" s="5367"/>
      <c r="AL66" s="5367"/>
      <c r="AM66" s="5367"/>
      <c r="AN66" s="5367"/>
      <c r="AO66" s="5367"/>
      <c r="AP66" s="5366"/>
      <c r="AQ66" s="5367"/>
      <c r="AR66" s="5367"/>
      <c r="AS66" s="5367"/>
      <c r="AT66" s="5367"/>
      <c r="AU66" s="5362"/>
      <c r="AV66" s="5362"/>
      <c r="AW66" s="5362"/>
      <c r="AX66" s="5434"/>
      <c r="AY66" s="5366"/>
      <c r="AZ66" s="5367"/>
      <c r="BA66" s="5367"/>
      <c r="BB66" s="5367"/>
      <c r="BC66" s="5367"/>
      <c r="BD66" s="5362"/>
      <c r="BE66" s="5362"/>
      <c r="BF66" s="5362"/>
      <c r="BG66" s="5434"/>
      <c r="BH66" s="5366"/>
      <c r="BI66" s="5367"/>
      <c r="BJ66" s="5367"/>
      <c r="BK66" s="5367"/>
      <c r="BL66" s="5367"/>
      <c r="BM66" s="5362"/>
      <c r="BN66" s="5362"/>
      <c r="BO66" s="5362"/>
      <c r="BP66" s="5434"/>
      <c r="BQ66" s="5366"/>
      <c r="BR66" s="5367"/>
      <c r="BS66" s="5367"/>
      <c r="BT66" s="5367"/>
      <c r="BU66" s="5367"/>
      <c r="BV66" s="5362"/>
      <c r="BW66" s="5362"/>
      <c r="BX66" s="5362"/>
      <c r="BY66" s="5434"/>
      <c r="BZ66" s="5366"/>
      <c r="CA66" s="5367"/>
      <c r="CB66" s="5367"/>
      <c r="CC66" s="5367"/>
      <c r="CD66" s="5367"/>
      <c r="CE66" s="5362"/>
      <c r="CF66" s="5362"/>
      <c r="CG66" s="5362"/>
      <c r="CH66" s="5434"/>
      <c r="CI66" s="5366"/>
      <c r="CJ66" s="5367"/>
      <c r="CK66" s="5367"/>
      <c r="CL66" s="5367"/>
      <c r="CM66" s="5367"/>
      <c r="CN66" s="5362"/>
      <c r="CO66" s="5362"/>
      <c r="CP66" s="5362"/>
      <c r="CQ66" s="5434"/>
      <c r="CR66" s="5366"/>
      <c r="CS66" s="5367"/>
      <c r="CT66" s="5367"/>
      <c r="CU66" s="5367"/>
      <c r="CV66" s="5367"/>
      <c r="CW66" s="5362"/>
      <c r="CX66" s="5362"/>
      <c r="CY66" s="5362"/>
      <c r="CZ66" s="5434"/>
      <c r="DA66" s="5366"/>
      <c r="DB66" s="5367"/>
      <c r="DC66" s="5367"/>
      <c r="DD66" s="5367"/>
      <c r="DE66" s="5367"/>
      <c r="DF66" s="5362"/>
      <c r="DG66" s="5362"/>
      <c r="DH66" s="5362"/>
      <c r="DI66" s="5434"/>
      <c r="DJ66" s="5366"/>
      <c r="DK66" s="5367"/>
      <c r="DL66" s="5367"/>
      <c r="DM66" s="5367"/>
      <c r="DN66" s="5367"/>
      <c r="DO66" s="5362"/>
      <c r="DP66" s="5362"/>
      <c r="DQ66" s="5362"/>
      <c r="DR66" s="5435"/>
      <c r="DS66" s="5368"/>
      <c r="DT66" s="1184" t="s">
        <v>435</v>
      </c>
      <c r="DU66" s="1568"/>
      <c r="DV66" s="1550"/>
      <c r="DW66" s="1550" t="str">
        <f>IF(V66="","",V66)</f>
        <v>Группа потребителей</v>
      </c>
      <c r="DX66" s="1550"/>
      <c r="DY66" s="1550"/>
      <c r="DZ66" s="1561">
        <v>0</v>
      </c>
    </row>
    <row r="67" spans="1:130" s="1774" customFormat="1" ht="52.5" customHeight="1">
      <c r="A67" s="1895"/>
      <c r="B67" s="1895"/>
      <c r="C67" s="1895"/>
      <c r="D67" s="1895"/>
      <c r="E67" s="5416"/>
      <c r="F67" s="5416"/>
      <c r="G67" s="5416"/>
      <c r="H67" s="5416"/>
      <c r="I67" s="5217"/>
      <c r="J67" s="5217" t="str">
        <f>I53&amp;".2"</f>
        <v>1.1.1.1.1.2</v>
      </c>
      <c r="K67" s="5235" t="str">
        <f>J66&amp;".1"</f>
        <v>1.1.1.1.1.3.1</v>
      </c>
      <c r="L67" s="1999"/>
      <c r="M67" s="2004" t="s">
        <v>436</v>
      </c>
      <c r="N67" s="1561"/>
      <c r="O67" s="1561"/>
      <c r="P67" s="1561"/>
      <c r="Q67" s="5385"/>
      <c r="R67" s="5385"/>
      <c r="S67" s="5385">
        <v>1</v>
      </c>
      <c r="T67" s="293"/>
      <c r="U67" s="2012" t="str">
        <f>$K67</f>
        <v>1.1.1.1.1.3.1</v>
      </c>
      <c r="V67" s="1273" t="s">
        <v>493</v>
      </c>
      <c r="W67" s="237"/>
      <c r="X67" s="687"/>
      <c r="Y67" s="687"/>
      <c r="Z67" s="687"/>
      <c r="AA67" s="687"/>
      <c r="AB67" s="1331"/>
      <c r="AC67" s="5386"/>
      <c r="AD67" s="5245" t="s">
        <v>65</v>
      </c>
      <c r="AE67" s="5386"/>
      <c r="AF67" s="5245" t="s">
        <v>65</v>
      </c>
      <c r="AG67" s="1333"/>
      <c r="AH67" s="687"/>
      <c r="AI67" s="687"/>
      <c r="AJ67" s="687"/>
      <c r="AK67" s="1183"/>
      <c r="AL67" s="5386">
        <v>45292</v>
      </c>
      <c r="AM67" s="5245" t="s">
        <v>65</v>
      </c>
      <c r="AN67" s="5386">
        <v>45473</v>
      </c>
      <c r="AO67" s="5245" t="s">
        <v>65</v>
      </c>
      <c r="AP67" s="687"/>
      <c r="AQ67" s="687"/>
      <c r="AR67" s="687"/>
      <c r="AS67" s="687"/>
      <c r="AT67" s="1331"/>
      <c r="AU67" s="5386">
        <v>45474</v>
      </c>
      <c r="AV67" s="5245" t="s">
        <v>65</v>
      </c>
      <c r="AW67" s="5386">
        <v>45657</v>
      </c>
      <c r="AX67" s="5245" t="s">
        <v>65</v>
      </c>
      <c r="AY67" s="687"/>
      <c r="AZ67" s="687"/>
      <c r="BA67" s="687"/>
      <c r="BB67" s="687"/>
      <c r="BC67" s="1331"/>
      <c r="BD67" s="5386">
        <v>45658</v>
      </c>
      <c r="BE67" s="5245" t="s">
        <v>65</v>
      </c>
      <c r="BF67" s="5386">
        <v>45838</v>
      </c>
      <c r="BG67" s="5245" t="s">
        <v>65</v>
      </c>
      <c r="BH67" s="687"/>
      <c r="BI67" s="687"/>
      <c r="BJ67" s="687"/>
      <c r="BK67" s="687"/>
      <c r="BL67" s="1331"/>
      <c r="BM67" s="5386">
        <v>45839</v>
      </c>
      <c r="BN67" s="5245" t="s">
        <v>65</v>
      </c>
      <c r="BO67" s="5386">
        <v>46022</v>
      </c>
      <c r="BP67" s="5245" t="s">
        <v>65</v>
      </c>
      <c r="BQ67" s="687"/>
      <c r="BR67" s="687"/>
      <c r="BS67" s="687"/>
      <c r="BT67" s="687"/>
      <c r="BU67" s="1331"/>
      <c r="BV67" s="5386">
        <v>46023</v>
      </c>
      <c r="BW67" s="5245" t="s">
        <v>65</v>
      </c>
      <c r="BX67" s="5386">
        <v>46203</v>
      </c>
      <c r="BY67" s="5245" t="s">
        <v>65</v>
      </c>
      <c r="BZ67" s="687"/>
      <c r="CA67" s="687"/>
      <c r="CB67" s="687"/>
      <c r="CC67" s="687"/>
      <c r="CD67" s="1331"/>
      <c r="CE67" s="5386">
        <v>46204</v>
      </c>
      <c r="CF67" s="5245" t="s">
        <v>65</v>
      </c>
      <c r="CG67" s="5386">
        <v>46387</v>
      </c>
      <c r="CH67" s="5245" t="s">
        <v>65</v>
      </c>
      <c r="CI67" s="687"/>
      <c r="CJ67" s="687"/>
      <c r="CK67" s="687"/>
      <c r="CL67" s="687"/>
      <c r="CM67" s="1331"/>
      <c r="CN67" s="5386">
        <v>46388</v>
      </c>
      <c r="CO67" s="5245" t="s">
        <v>65</v>
      </c>
      <c r="CP67" s="5386">
        <v>46568</v>
      </c>
      <c r="CQ67" s="5245" t="s">
        <v>65</v>
      </c>
      <c r="CR67" s="687"/>
      <c r="CS67" s="687"/>
      <c r="CT67" s="687"/>
      <c r="CU67" s="687"/>
      <c r="CV67" s="1331"/>
      <c r="CW67" s="5386">
        <v>46569</v>
      </c>
      <c r="CX67" s="5245" t="s">
        <v>65</v>
      </c>
      <c r="CY67" s="5386">
        <v>46752</v>
      </c>
      <c r="CZ67" s="5245" t="s">
        <v>65</v>
      </c>
      <c r="DA67" s="687"/>
      <c r="DB67" s="687"/>
      <c r="DC67" s="687"/>
      <c r="DD67" s="687"/>
      <c r="DE67" s="1331"/>
      <c r="DF67" s="5386">
        <v>46753</v>
      </c>
      <c r="DG67" s="5245" t="s">
        <v>65</v>
      </c>
      <c r="DH67" s="5386">
        <v>46934</v>
      </c>
      <c r="DI67" s="5245" t="s">
        <v>65</v>
      </c>
      <c r="DJ67" s="687"/>
      <c r="DK67" s="687"/>
      <c r="DL67" s="687"/>
      <c r="DM67" s="687"/>
      <c r="DN67" s="1331"/>
      <c r="DO67" s="5386">
        <v>46935</v>
      </c>
      <c r="DP67" s="5245" t="s">
        <v>65</v>
      </c>
      <c r="DQ67" s="5386">
        <v>47118</v>
      </c>
      <c r="DR67" s="5245" t="s">
        <v>65</v>
      </c>
      <c r="DS67" s="262"/>
      <c r="DT67" s="1233" t="s">
        <v>481</v>
      </c>
      <c r="DU67" s="1568" t="e">
        <f ca="1">STRCHECKDATE(X69:DS69)</f>
        <v>#NAME?</v>
      </c>
      <c r="DV67" s="1550"/>
      <c r="DW67" s="1550" t="str">
        <f>IF(V67="","",V67)</f>
        <v>горячая вода в системе централизованного теплоснабжения на горячее водоснабжение</v>
      </c>
      <c r="DX67" s="1550"/>
      <c r="DY67" s="1550"/>
      <c r="DZ67" s="1561">
        <v>0</v>
      </c>
    </row>
    <row r="68" spans="1:130" s="1774" customFormat="1" ht="21" customHeight="1">
      <c r="A68" s="1895"/>
      <c r="B68" s="1895"/>
      <c r="C68" s="1895"/>
      <c r="D68" s="1895"/>
      <c r="E68" s="5416"/>
      <c r="F68" s="5416"/>
      <c r="G68" s="5416"/>
      <c r="H68" s="5416"/>
      <c r="I68" s="5217"/>
      <c r="J68" s="5217" t="str">
        <f>I53&amp;".2"</f>
        <v>1.1.1.1.1.2</v>
      </c>
      <c r="K68" s="5217"/>
      <c r="L68" s="5235" t="str">
        <f>K67&amp;".1"</f>
        <v>1.1.1.1.1.3.1.1</v>
      </c>
      <c r="M68" s="2004"/>
      <c r="N68" s="1561"/>
      <c r="O68" s="1561"/>
      <c r="P68" s="1561"/>
      <c r="Q68" s="5385"/>
      <c r="R68" s="5385"/>
      <c r="S68" s="5385"/>
      <c r="T68" s="293"/>
      <c r="U68" s="2012" t="str">
        <f>$L68</f>
        <v>1.1.1.1.1.3.1.1</v>
      </c>
      <c r="V68" s="1317" t="s">
        <v>475</v>
      </c>
      <c r="W68" s="237"/>
      <c r="X68" s="262"/>
      <c r="Y68" s="687"/>
      <c r="Z68" s="687"/>
      <c r="AA68" s="687"/>
      <c r="AB68" s="1331"/>
      <c r="AC68" s="5387"/>
      <c r="AD68" s="5245"/>
      <c r="AE68" s="5387"/>
      <c r="AF68" s="5245"/>
      <c r="AG68" s="1333"/>
      <c r="AH68" s="687"/>
      <c r="AI68" s="687">
        <v>2649.78</v>
      </c>
      <c r="AJ68" s="687"/>
      <c r="AK68" s="1183"/>
      <c r="AL68" s="5387"/>
      <c r="AM68" s="5245"/>
      <c r="AN68" s="5387"/>
      <c r="AO68" s="5245"/>
      <c r="AP68" s="262"/>
      <c r="AQ68" s="687"/>
      <c r="AR68" s="687">
        <v>2993.56</v>
      </c>
      <c r="AS68" s="687"/>
      <c r="AT68" s="1331"/>
      <c r="AU68" s="5387"/>
      <c r="AV68" s="5245"/>
      <c r="AW68" s="5387"/>
      <c r="AX68" s="5245"/>
      <c r="AY68" s="262"/>
      <c r="AZ68" s="687"/>
      <c r="BA68" s="687">
        <v>2937.42</v>
      </c>
      <c r="BB68" s="687"/>
      <c r="BC68" s="1331"/>
      <c r="BD68" s="5387"/>
      <c r="BE68" s="5245"/>
      <c r="BF68" s="5387"/>
      <c r="BG68" s="5245"/>
      <c r="BH68" s="262"/>
      <c r="BI68" s="687"/>
      <c r="BJ68" s="687">
        <v>3053.41</v>
      </c>
      <c r="BK68" s="687"/>
      <c r="BL68" s="1331"/>
      <c r="BM68" s="5387"/>
      <c r="BN68" s="5245"/>
      <c r="BO68" s="5387"/>
      <c r="BP68" s="5245"/>
      <c r="BQ68" s="262"/>
      <c r="BR68" s="687"/>
      <c r="BS68" s="687">
        <v>3053.41</v>
      </c>
      <c r="BT68" s="687"/>
      <c r="BU68" s="1331"/>
      <c r="BV68" s="5387"/>
      <c r="BW68" s="5245"/>
      <c r="BX68" s="5387"/>
      <c r="BY68" s="5245"/>
      <c r="BZ68" s="262"/>
      <c r="CA68" s="687"/>
      <c r="CB68" s="687">
        <v>3260.06</v>
      </c>
      <c r="CC68" s="687"/>
      <c r="CD68" s="1331"/>
      <c r="CE68" s="5387"/>
      <c r="CF68" s="5245"/>
      <c r="CG68" s="5387"/>
      <c r="CH68" s="5245"/>
      <c r="CI68" s="262"/>
      <c r="CJ68" s="687"/>
      <c r="CK68" s="687">
        <v>3193.8</v>
      </c>
      <c r="CL68" s="687"/>
      <c r="CM68" s="1331"/>
      <c r="CN68" s="5387"/>
      <c r="CO68" s="5245"/>
      <c r="CP68" s="5387"/>
      <c r="CQ68" s="5245"/>
      <c r="CR68" s="262"/>
      <c r="CS68" s="687"/>
      <c r="CT68" s="687">
        <v>3279.65</v>
      </c>
      <c r="CU68" s="687"/>
      <c r="CV68" s="1331"/>
      <c r="CW68" s="5387"/>
      <c r="CX68" s="5245"/>
      <c r="CY68" s="5387"/>
      <c r="CZ68" s="5245"/>
      <c r="DA68" s="262"/>
      <c r="DB68" s="687"/>
      <c r="DC68" s="687">
        <v>3279.65</v>
      </c>
      <c r="DD68" s="687"/>
      <c r="DE68" s="1331"/>
      <c r="DF68" s="5387"/>
      <c r="DG68" s="5245"/>
      <c r="DH68" s="5387"/>
      <c r="DI68" s="5245"/>
      <c r="DJ68" s="262"/>
      <c r="DK68" s="687"/>
      <c r="DL68" s="687">
        <v>3451.67</v>
      </c>
      <c r="DM68" s="687"/>
      <c r="DN68" s="1331"/>
      <c r="DO68" s="5387"/>
      <c r="DP68" s="5245"/>
      <c r="DQ68" s="5387"/>
      <c r="DR68" s="5245"/>
      <c r="DS68" s="262"/>
      <c r="DT68" s="5405" t="s">
        <v>482</v>
      </c>
      <c r="DU68" s="1568"/>
      <c r="DV68" s="1550"/>
      <c r="DW68" s="1550"/>
      <c r="DX68" s="1550"/>
      <c r="DY68" s="1550"/>
      <c r="DZ68" s="1561">
        <v>0</v>
      </c>
    </row>
    <row r="69" spans="1:130" s="1774" customFormat="1" ht="14.25" customHeight="1">
      <c r="A69" s="1895"/>
      <c r="B69" s="1895"/>
      <c r="C69" s="1895"/>
      <c r="D69" s="1895"/>
      <c r="E69" s="5416"/>
      <c r="F69" s="5416"/>
      <c r="G69" s="5416"/>
      <c r="H69" s="5416"/>
      <c r="I69" s="5217"/>
      <c r="J69" s="5217" t="str">
        <f>I53&amp;".2"</f>
        <v>1.1.1.1.1.2</v>
      </c>
      <c r="K69" s="5217"/>
      <c r="L69" s="5235"/>
      <c r="M69" s="2004"/>
      <c r="N69" s="1561"/>
      <c r="O69" s="1561"/>
      <c r="P69" s="1561"/>
      <c r="Q69" s="5385"/>
      <c r="R69" s="5385"/>
      <c r="S69" s="5385"/>
      <c r="T69" s="293"/>
      <c r="U69" s="2019"/>
      <c r="V69" s="237"/>
      <c r="W69" s="237"/>
      <c r="X69" s="262"/>
      <c r="Y69" s="262"/>
      <c r="Z69" s="262"/>
      <c r="AA69" s="262"/>
      <c r="AB69" s="1332" t="str">
        <f>AC67&amp;"-"&amp;AE67</f>
        <v>-</v>
      </c>
      <c r="AC69" s="5387"/>
      <c r="AD69" s="5245"/>
      <c r="AE69" s="5387"/>
      <c r="AF69" s="5245"/>
      <c r="AG69" s="1308"/>
      <c r="AH69" s="262"/>
      <c r="AI69" s="262"/>
      <c r="AJ69" s="262"/>
      <c r="AK69" s="265" t="str">
        <f>AL67&amp;"-"&amp;AN67</f>
        <v>45292-45473</v>
      </c>
      <c r="AL69" s="5387"/>
      <c r="AM69" s="5245"/>
      <c r="AN69" s="5387"/>
      <c r="AO69" s="5245"/>
      <c r="AP69" s="262"/>
      <c r="AQ69" s="262"/>
      <c r="AR69" s="262"/>
      <c r="AS69" s="262"/>
      <c r="AT69" s="1332" t="str">
        <f>AU67&amp;"-"&amp;AW67</f>
        <v>45474-45657</v>
      </c>
      <c r="AU69" s="5387"/>
      <c r="AV69" s="5245"/>
      <c r="AW69" s="5387"/>
      <c r="AX69" s="5245"/>
      <c r="AY69" s="262"/>
      <c r="AZ69" s="262"/>
      <c r="BA69" s="262"/>
      <c r="BB69" s="262"/>
      <c r="BC69" s="1332" t="str">
        <f>BD67&amp;"-"&amp;BF67</f>
        <v>45658-45838</v>
      </c>
      <c r="BD69" s="5387"/>
      <c r="BE69" s="5245"/>
      <c r="BF69" s="5387"/>
      <c r="BG69" s="5245"/>
      <c r="BH69" s="262"/>
      <c r="BI69" s="262"/>
      <c r="BJ69" s="262"/>
      <c r="BK69" s="262"/>
      <c r="BL69" s="1332" t="str">
        <f>BM67&amp;"-"&amp;BO67</f>
        <v>45839-46022</v>
      </c>
      <c r="BM69" s="5387"/>
      <c r="BN69" s="5245"/>
      <c r="BO69" s="5387"/>
      <c r="BP69" s="5245"/>
      <c r="BQ69" s="262"/>
      <c r="BR69" s="262"/>
      <c r="BS69" s="262"/>
      <c r="BT69" s="262"/>
      <c r="BU69" s="1332" t="str">
        <f>BV67&amp;"-"&amp;BX67</f>
        <v>46023-46203</v>
      </c>
      <c r="BV69" s="5387"/>
      <c r="BW69" s="5245"/>
      <c r="BX69" s="5387"/>
      <c r="BY69" s="5245"/>
      <c r="BZ69" s="262"/>
      <c r="CA69" s="262"/>
      <c r="CB69" s="262"/>
      <c r="CC69" s="262"/>
      <c r="CD69" s="1332" t="str">
        <f>CE67&amp;"-"&amp;CG67</f>
        <v>46204-46387</v>
      </c>
      <c r="CE69" s="5387"/>
      <c r="CF69" s="5245"/>
      <c r="CG69" s="5387"/>
      <c r="CH69" s="5245"/>
      <c r="CI69" s="262"/>
      <c r="CJ69" s="262"/>
      <c r="CK69" s="262"/>
      <c r="CL69" s="262"/>
      <c r="CM69" s="1332" t="str">
        <f>CN67&amp;"-"&amp;CP67</f>
        <v>46388-46568</v>
      </c>
      <c r="CN69" s="5387"/>
      <c r="CO69" s="5245"/>
      <c r="CP69" s="5387"/>
      <c r="CQ69" s="5245"/>
      <c r="CR69" s="262"/>
      <c r="CS69" s="262"/>
      <c r="CT69" s="262"/>
      <c r="CU69" s="262"/>
      <c r="CV69" s="1332" t="str">
        <f>CW67&amp;"-"&amp;CY67</f>
        <v>46569-46752</v>
      </c>
      <c r="CW69" s="5387"/>
      <c r="CX69" s="5245"/>
      <c r="CY69" s="5387"/>
      <c r="CZ69" s="5245"/>
      <c r="DA69" s="262"/>
      <c r="DB69" s="262"/>
      <c r="DC69" s="262"/>
      <c r="DD69" s="262"/>
      <c r="DE69" s="1332" t="str">
        <f>DF67&amp;"-"&amp;DH67</f>
        <v>46753-46934</v>
      </c>
      <c r="DF69" s="5387"/>
      <c r="DG69" s="5245"/>
      <c r="DH69" s="5387"/>
      <c r="DI69" s="5245"/>
      <c r="DJ69" s="262"/>
      <c r="DK69" s="262"/>
      <c r="DL69" s="262"/>
      <c r="DM69" s="262"/>
      <c r="DN69" s="1332" t="str">
        <f>DO67&amp;"-"&amp;DQ67</f>
        <v>46935-47118</v>
      </c>
      <c r="DO69" s="5387"/>
      <c r="DP69" s="5245"/>
      <c r="DQ69" s="5387"/>
      <c r="DR69" s="5245"/>
      <c r="DS69" s="262"/>
      <c r="DT69" s="5406"/>
      <c r="DU69" s="1568"/>
      <c r="DV69" s="1550"/>
      <c r="DW69" s="1550" t="str">
        <f>IF(V69="","",V69)</f>
        <v/>
      </c>
      <c r="DX69" s="1550"/>
      <c r="DY69" s="1550"/>
      <c r="DZ69" s="1561">
        <v>0</v>
      </c>
    </row>
    <row r="70" spans="1:130" s="1774" customFormat="1" ht="11.25" customHeight="1">
      <c r="A70" s="1895"/>
      <c r="B70" s="1895"/>
      <c r="C70" s="1895"/>
      <c r="D70" s="1895"/>
      <c r="E70" s="5416"/>
      <c r="F70" s="5416"/>
      <c r="G70" s="5416"/>
      <c r="H70" s="5416"/>
      <c r="I70" s="5217"/>
      <c r="J70" s="5217" t="str">
        <f>I53&amp;".2"</f>
        <v>1.1.1.1.1.2</v>
      </c>
      <c r="K70" s="5235"/>
      <c r="L70" s="1895"/>
      <c r="M70" s="2004"/>
      <c r="N70" s="1561"/>
      <c r="O70" s="1561"/>
      <c r="P70" s="1561"/>
      <c r="Q70" s="5385"/>
      <c r="R70" s="5385"/>
      <c r="S70" s="5385"/>
      <c r="T70" s="293"/>
      <c r="U70" s="4914"/>
      <c r="V70" s="4915" t="s">
        <v>483</v>
      </c>
      <c r="W70" s="4916"/>
      <c r="X70" s="4917"/>
      <c r="Y70" s="4918"/>
      <c r="Z70" s="4919"/>
      <c r="AA70" s="4920"/>
      <c r="AB70" s="4921"/>
      <c r="AC70" s="5387"/>
      <c r="AD70" s="5245"/>
      <c r="AE70" s="5387"/>
      <c r="AF70" s="5245"/>
      <c r="AG70" s="4922"/>
      <c r="AH70" s="4923"/>
      <c r="AI70" s="4924"/>
      <c r="AJ70" s="4925"/>
      <c r="AK70" s="4926"/>
      <c r="AL70" s="5387"/>
      <c r="AM70" s="5245"/>
      <c r="AN70" s="5387"/>
      <c r="AO70" s="5245"/>
      <c r="AP70" s="4927"/>
      <c r="AQ70" s="4928"/>
      <c r="AR70" s="4929"/>
      <c r="AS70" s="4930"/>
      <c r="AT70" s="4931"/>
      <c r="AU70" s="5387"/>
      <c r="AV70" s="5245"/>
      <c r="AW70" s="5387"/>
      <c r="AX70" s="5245"/>
      <c r="AY70" s="4932"/>
      <c r="AZ70" s="4933"/>
      <c r="BA70" s="4934"/>
      <c r="BB70" s="4935"/>
      <c r="BC70" s="4936"/>
      <c r="BD70" s="5387"/>
      <c r="BE70" s="5245"/>
      <c r="BF70" s="5387"/>
      <c r="BG70" s="5245"/>
      <c r="BH70" s="4937"/>
      <c r="BI70" s="4938"/>
      <c r="BJ70" s="4939"/>
      <c r="BK70" s="4940"/>
      <c r="BL70" s="4941"/>
      <c r="BM70" s="5387"/>
      <c r="BN70" s="5245"/>
      <c r="BO70" s="5387"/>
      <c r="BP70" s="5245"/>
      <c r="BQ70" s="4942"/>
      <c r="BR70" s="4943"/>
      <c r="BS70" s="4944"/>
      <c r="BT70" s="4945"/>
      <c r="BU70" s="4946"/>
      <c r="BV70" s="5387"/>
      <c r="BW70" s="5245"/>
      <c r="BX70" s="5387"/>
      <c r="BY70" s="5245"/>
      <c r="BZ70" s="4947"/>
      <c r="CA70" s="4948"/>
      <c r="CB70" s="4949"/>
      <c r="CC70" s="4950"/>
      <c r="CD70" s="4951"/>
      <c r="CE70" s="5387"/>
      <c r="CF70" s="5245"/>
      <c r="CG70" s="5387"/>
      <c r="CH70" s="5245"/>
      <c r="CI70" s="4952"/>
      <c r="CJ70" s="4953"/>
      <c r="CK70" s="4954"/>
      <c r="CL70" s="4955"/>
      <c r="CM70" s="4956"/>
      <c r="CN70" s="5387"/>
      <c r="CO70" s="5245"/>
      <c r="CP70" s="5387"/>
      <c r="CQ70" s="5245"/>
      <c r="CR70" s="4957"/>
      <c r="CS70" s="4958"/>
      <c r="CT70" s="4959"/>
      <c r="CU70" s="4960"/>
      <c r="CV70" s="4961"/>
      <c r="CW70" s="5387"/>
      <c r="CX70" s="5245"/>
      <c r="CY70" s="5387"/>
      <c r="CZ70" s="5245"/>
      <c r="DA70" s="4962"/>
      <c r="DB70" s="4963"/>
      <c r="DC70" s="4964"/>
      <c r="DD70" s="4965"/>
      <c r="DE70" s="4966"/>
      <c r="DF70" s="5387"/>
      <c r="DG70" s="5245"/>
      <c r="DH70" s="5387"/>
      <c r="DI70" s="5245"/>
      <c r="DJ70" s="4967"/>
      <c r="DK70" s="4968"/>
      <c r="DL70" s="4969"/>
      <c r="DM70" s="4970"/>
      <c r="DN70" s="4971"/>
      <c r="DO70" s="5387"/>
      <c r="DP70" s="5245"/>
      <c r="DQ70" s="5387"/>
      <c r="DR70" s="5245"/>
      <c r="DS70" s="4972"/>
      <c r="DT70" s="5406"/>
      <c r="DU70" s="1568"/>
      <c r="DV70" s="1550"/>
      <c r="DW70" s="1550"/>
      <c r="DX70" s="1550"/>
      <c r="DY70" s="1550"/>
      <c r="DZ70" s="1561">
        <v>0</v>
      </c>
    </row>
    <row r="71" spans="1:130" s="1774" customFormat="1" ht="15" customHeight="1">
      <c r="A71" s="1895"/>
      <c r="B71" s="1895"/>
      <c r="C71" s="1895"/>
      <c r="D71" s="1895"/>
      <c r="E71" s="5416"/>
      <c r="F71" s="5416"/>
      <c r="G71" s="5416"/>
      <c r="H71" s="5416"/>
      <c r="I71" s="5217"/>
      <c r="J71" s="5235" t="str">
        <f>I53&amp;".2"</f>
        <v>1.1.1.1.1.2</v>
      </c>
      <c r="K71" s="1895"/>
      <c r="L71" s="1895"/>
      <c r="M71" s="2004"/>
      <c r="N71" s="1561"/>
      <c r="O71" s="1561"/>
      <c r="P71" s="2015"/>
      <c r="Q71" s="5385"/>
      <c r="R71" s="5385"/>
      <c r="S71" s="2014"/>
      <c r="T71" s="292"/>
      <c r="U71" s="4973"/>
      <c r="V71" s="4974" t="s">
        <v>438</v>
      </c>
      <c r="W71" s="4975"/>
      <c r="X71" s="4976"/>
      <c r="Y71" s="4977"/>
      <c r="Z71" s="4978"/>
      <c r="AA71" s="4979"/>
      <c r="AB71" s="4980"/>
      <c r="AC71" s="4981"/>
      <c r="AD71" s="4982"/>
      <c r="AE71" s="4983"/>
      <c r="AF71" s="4984"/>
      <c r="AG71" s="4985"/>
      <c r="AH71" s="4986"/>
      <c r="AI71" s="4987"/>
      <c r="AJ71" s="4988"/>
      <c r="AK71" s="4989"/>
      <c r="AL71" s="4990"/>
      <c r="AM71" s="4991"/>
      <c r="AN71" s="4992"/>
      <c r="AO71" s="4993"/>
      <c r="AP71" s="4994"/>
      <c r="AQ71" s="4995"/>
      <c r="AR71" s="4996"/>
      <c r="AS71" s="4997"/>
      <c r="AT71" s="4998"/>
      <c r="AU71" s="4999"/>
      <c r="AV71" s="5000"/>
      <c r="AW71" s="5001"/>
      <c r="AX71" s="5002"/>
      <c r="AY71" s="5003"/>
      <c r="AZ71" s="5004"/>
      <c r="BA71" s="5005"/>
      <c r="BB71" s="5006"/>
      <c r="BC71" s="5007"/>
      <c r="BD71" s="5008"/>
      <c r="BE71" s="5009"/>
      <c r="BF71" s="5010"/>
      <c r="BG71" s="5011"/>
      <c r="BH71" s="5012"/>
      <c r="BI71" s="5013"/>
      <c r="BJ71" s="5014"/>
      <c r="BK71" s="5015"/>
      <c r="BL71" s="5016"/>
      <c r="BM71" s="5017"/>
      <c r="BN71" s="5018"/>
      <c r="BO71" s="5019"/>
      <c r="BP71" s="5020"/>
      <c r="BQ71" s="5021"/>
      <c r="BR71" s="5022"/>
      <c r="BS71" s="5023"/>
      <c r="BT71" s="5024"/>
      <c r="BU71" s="5025"/>
      <c r="BV71" s="5026"/>
      <c r="BW71" s="5027"/>
      <c r="BX71" s="5028"/>
      <c r="BY71" s="5029"/>
      <c r="BZ71" s="5030"/>
      <c r="CA71" s="5031"/>
      <c r="CB71" s="5032"/>
      <c r="CC71" s="5033"/>
      <c r="CD71" s="5034"/>
      <c r="CE71" s="5035"/>
      <c r="CF71" s="5036"/>
      <c r="CG71" s="5037"/>
      <c r="CH71" s="5038"/>
      <c r="CI71" s="5039"/>
      <c r="CJ71" s="5040"/>
      <c r="CK71" s="5041"/>
      <c r="CL71" s="5042"/>
      <c r="CM71" s="5043"/>
      <c r="CN71" s="5044"/>
      <c r="CO71" s="5045"/>
      <c r="CP71" s="5046"/>
      <c r="CQ71" s="5047"/>
      <c r="CR71" s="5048"/>
      <c r="CS71" s="5049"/>
      <c r="CT71" s="5050"/>
      <c r="CU71" s="5051"/>
      <c r="CV71" s="5052"/>
      <c r="CW71" s="5053"/>
      <c r="CX71" s="5054"/>
      <c r="CY71" s="5055"/>
      <c r="CZ71" s="5056"/>
      <c r="DA71" s="5057"/>
      <c r="DB71" s="5058"/>
      <c r="DC71" s="5059"/>
      <c r="DD71" s="5060"/>
      <c r="DE71" s="5061"/>
      <c r="DF71" s="5062"/>
      <c r="DG71" s="5063"/>
      <c r="DH71" s="5064"/>
      <c r="DI71" s="5065"/>
      <c r="DJ71" s="5066"/>
      <c r="DK71" s="5067"/>
      <c r="DL71" s="5068"/>
      <c r="DM71" s="5069"/>
      <c r="DN71" s="5070"/>
      <c r="DO71" s="5071"/>
      <c r="DP71" s="5072"/>
      <c r="DQ71" s="5073"/>
      <c r="DR71" s="5197"/>
      <c r="DS71" s="5074"/>
      <c r="DT71" s="5407"/>
      <c r="DU71" s="1568"/>
      <c r="DV71" s="1550"/>
      <c r="DW71" s="1550" t="str">
        <f t="shared" ref="DW71:DW77" si="3">IF(V71="","",V71)</f>
        <v>Добавить вид теплоносителя (параметры теплоносителя)</v>
      </c>
      <c r="DX71" s="1550"/>
      <c r="DY71" s="1550"/>
      <c r="DZ71" s="1561">
        <v>0</v>
      </c>
    </row>
    <row r="72" spans="1:130" ht="11.45" customHeight="1">
      <c r="A72" s="1193" t="s">
        <v>201</v>
      </c>
      <c r="B72" s="1193" t="s">
        <v>202</v>
      </c>
      <c r="C72" s="1193" t="s">
        <v>203</v>
      </c>
      <c r="D72" s="1193" t="s">
        <v>204</v>
      </c>
      <c r="E72" s="5416"/>
      <c r="F72" s="5416"/>
      <c r="G72" s="5416"/>
      <c r="H72" s="5416"/>
      <c r="I72" s="5235"/>
      <c r="J72" s="1193"/>
      <c r="K72" s="1193"/>
      <c r="L72" s="1193"/>
      <c r="M72" s="1236"/>
      <c r="Q72" s="5385"/>
      <c r="R72" s="1257"/>
      <c r="S72" s="1257"/>
      <c r="T72" s="292"/>
      <c r="U72" s="1204"/>
      <c r="V72" s="301" t="s">
        <v>439</v>
      </c>
      <c r="W72" s="303"/>
      <c r="X72" s="303"/>
      <c r="Y72" s="303"/>
      <c r="Z72" s="303"/>
      <c r="AA72" s="303"/>
      <c r="AB72" s="303"/>
      <c r="AC72" s="303"/>
      <c r="AD72" s="303"/>
      <c r="AE72" s="303"/>
      <c r="AF72" s="302"/>
      <c r="AG72" s="303"/>
      <c r="AH72" s="303"/>
      <c r="AI72" s="303"/>
      <c r="AJ72" s="303"/>
      <c r="AK72" s="303"/>
      <c r="AL72" s="303"/>
      <c r="AM72" s="303"/>
      <c r="AN72" s="303"/>
      <c r="AO72" s="302"/>
      <c r="AP72" s="5075"/>
      <c r="AQ72" s="5076"/>
      <c r="AR72" s="5077"/>
      <c r="AS72" s="5078"/>
      <c r="AT72" s="5079"/>
      <c r="AU72" s="5080"/>
      <c r="AV72" s="5081"/>
      <c r="AW72" s="5082"/>
      <c r="AX72" s="5083"/>
      <c r="AY72" s="5084"/>
      <c r="AZ72" s="5085"/>
      <c r="BA72" s="5086"/>
      <c r="BB72" s="5087"/>
      <c r="BC72" s="5088"/>
      <c r="BD72" s="5089"/>
      <c r="BE72" s="5090"/>
      <c r="BF72" s="5091"/>
      <c r="BG72" s="5092"/>
      <c r="BH72" s="5093"/>
      <c r="BI72" s="5094"/>
      <c r="BJ72" s="5095"/>
      <c r="BK72" s="5096"/>
      <c r="BL72" s="5097"/>
      <c r="BM72" s="5098"/>
      <c r="BN72" s="5099"/>
      <c r="BO72" s="5100"/>
      <c r="BP72" s="5101"/>
      <c r="BQ72" s="5102"/>
      <c r="BR72" s="5103"/>
      <c r="BS72" s="5104"/>
      <c r="BT72" s="5105"/>
      <c r="BU72" s="5106"/>
      <c r="BV72" s="5107"/>
      <c r="BW72" s="5108"/>
      <c r="BX72" s="5109"/>
      <c r="BY72" s="5110"/>
      <c r="BZ72" s="5111"/>
      <c r="CA72" s="5112"/>
      <c r="CB72" s="5113"/>
      <c r="CC72" s="5114"/>
      <c r="CD72" s="5115"/>
      <c r="CE72" s="5116"/>
      <c r="CF72" s="5117"/>
      <c r="CG72" s="5118"/>
      <c r="CH72" s="5119"/>
      <c r="CI72" s="5120"/>
      <c r="CJ72" s="5121"/>
      <c r="CK72" s="5122"/>
      <c r="CL72" s="5123"/>
      <c r="CM72" s="5124"/>
      <c r="CN72" s="5125"/>
      <c r="CO72" s="5126"/>
      <c r="CP72" s="5127"/>
      <c r="CQ72" s="5128"/>
      <c r="CR72" s="5129"/>
      <c r="CS72" s="5130"/>
      <c r="CT72" s="5131"/>
      <c r="CU72" s="5132"/>
      <c r="CV72" s="5133"/>
      <c r="CW72" s="5134"/>
      <c r="CX72" s="5135"/>
      <c r="CY72" s="5136"/>
      <c r="CZ72" s="5137"/>
      <c r="DA72" s="5138"/>
      <c r="DB72" s="5139"/>
      <c r="DC72" s="5140"/>
      <c r="DD72" s="5141"/>
      <c r="DE72" s="5142"/>
      <c r="DF72" s="5143"/>
      <c r="DG72" s="5144"/>
      <c r="DH72" s="5145"/>
      <c r="DI72" s="5146"/>
      <c r="DJ72" s="5147"/>
      <c r="DK72" s="5148"/>
      <c r="DL72" s="5149"/>
      <c r="DM72" s="5150"/>
      <c r="DN72" s="5151"/>
      <c r="DO72" s="5152"/>
      <c r="DP72" s="5153"/>
      <c r="DQ72" s="5154"/>
      <c r="DR72" s="5198"/>
      <c r="DS72" s="303"/>
      <c r="DT72" s="240"/>
      <c r="DV72" s="436"/>
      <c r="DW72" s="436" t="str">
        <f t="shared" si="3"/>
        <v>Добавить группу потребителей</v>
      </c>
      <c r="DX72" s="436"/>
      <c r="DY72" s="436"/>
      <c r="DZ72" s="1081">
        <v>11</v>
      </c>
    </row>
    <row r="73" spans="1:130" ht="0" hidden="1" customHeight="1">
      <c r="A73" s="1193" t="s">
        <v>201</v>
      </c>
      <c r="B73" s="1193" t="s">
        <v>202</v>
      </c>
      <c r="C73" s="1193" t="s">
        <v>203</v>
      </c>
      <c r="D73" s="1193" t="s">
        <v>204</v>
      </c>
      <c r="E73" s="5416"/>
      <c r="F73" s="5416"/>
      <c r="G73" s="5416"/>
      <c r="H73" s="5415"/>
      <c r="I73" s="1193"/>
      <c r="J73" s="1193"/>
      <c r="K73" s="1193"/>
      <c r="L73" s="1193"/>
      <c r="M73" s="1236"/>
      <c r="N73" s="624"/>
      <c r="O73" s="624"/>
      <c r="P73" s="445"/>
      <c r="Q73" s="296"/>
      <c r="R73" s="311"/>
      <c r="S73" s="291"/>
      <c r="T73" s="296"/>
      <c r="U73" s="1312"/>
      <c r="V73" s="1313"/>
      <c r="W73" s="1314"/>
      <c r="X73" s="1314"/>
      <c r="Y73" s="1314"/>
      <c r="Z73" s="1314"/>
      <c r="AA73" s="1314"/>
      <c r="AB73" s="1314"/>
      <c r="AC73" s="1314"/>
      <c r="AD73" s="1314"/>
      <c r="AE73" s="1314"/>
      <c r="AF73" s="1314"/>
      <c r="AG73" s="1314"/>
      <c r="AH73" s="1314"/>
      <c r="AI73" s="1314"/>
      <c r="AJ73" s="1314"/>
      <c r="AK73" s="1314"/>
      <c r="AL73" s="1314"/>
      <c r="AM73" s="1314"/>
      <c r="AN73" s="1314"/>
      <c r="AO73" s="1314"/>
      <c r="AP73" s="1314"/>
      <c r="AQ73" s="1314"/>
      <c r="AR73" s="1314"/>
      <c r="AS73" s="1314"/>
      <c r="AT73" s="1314"/>
      <c r="AU73" s="1314"/>
      <c r="AV73" s="1314"/>
      <c r="AW73" s="1314"/>
      <c r="AX73" s="1314"/>
      <c r="AY73" s="1314"/>
      <c r="AZ73" s="1314"/>
      <c r="BA73" s="1314"/>
      <c r="BB73" s="1314"/>
      <c r="BC73" s="1314"/>
      <c r="BD73" s="1314"/>
      <c r="BE73" s="1314"/>
      <c r="BF73" s="1314"/>
      <c r="BG73" s="1314"/>
      <c r="BH73" s="1314"/>
      <c r="BI73" s="1314"/>
      <c r="BJ73" s="1314"/>
      <c r="BK73" s="1314"/>
      <c r="BL73" s="1314"/>
      <c r="BM73" s="1314"/>
      <c r="BN73" s="1314"/>
      <c r="BO73" s="1314"/>
      <c r="BP73" s="1314"/>
      <c r="BQ73" s="1314"/>
      <c r="BR73" s="1314"/>
      <c r="BS73" s="1314"/>
      <c r="BT73" s="1314"/>
      <c r="BU73" s="1314"/>
      <c r="BV73" s="1314"/>
      <c r="BW73" s="1314"/>
      <c r="BX73" s="1314"/>
      <c r="BY73" s="1314"/>
      <c r="BZ73" s="1314"/>
      <c r="CA73" s="1314"/>
      <c r="CB73" s="1314"/>
      <c r="CC73" s="1314"/>
      <c r="CD73" s="1314"/>
      <c r="CE73" s="1314"/>
      <c r="CF73" s="1314"/>
      <c r="CG73" s="1314"/>
      <c r="CH73" s="1314"/>
      <c r="CI73" s="1314"/>
      <c r="CJ73" s="1314"/>
      <c r="CK73" s="1314"/>
      <c r="CL73" s="1314"/>
      <c r="CM73" s="1314"/>
      <c r="CN73" s="1314"/>
      <c r="CO73" s="1314"/>
      <c r="CP73" s="1314"/>
      <c r="CQ73" s="1314"/>
      <c r="CR73" s="1314"/>
      <c r="CS73" s="1314"/>
      <c r="CT73" s="1314"/>
      <c r="CU73" s="1314"/>
      <c r="CV73" s="1314"/>
      <c r="CW73" s="1314"/>
      <c r="CX73" s="1314"/>
      <c r="CY73" s="1314"/>
      <c r="CZ73" s="1314"/>
      <c r="DA73" s="1314"/>
      <c r="DB73" s="1314"/>
      <c r="DC73" s="1314"/>
      <c r="DD73" s="1314"/>
      <c r="DE73" s="1314"/>
      <c r="DF73" s="1314"/>
      <c r="DG73" s="1314"/>
      <c r="DH73" s="1314"/>
      <c r="DI73" s="1314"/>
      <c r="DJ73" s="1314"/>
      <c r="DK73" s="1314"/>
      <c r="DL73" s="1314"/>
      <c r="DM73" s="1314"/>
      <c r="DN73" s="1314"/>
      <c r="DO73" s="1314"/>
      <c r="DP73" s="1314"/>
      <c r="DQ73" s="1314"/>
      <c r="DR73" s="1314"/>
      <c r="DS73" s="1314"/>
      <c r="DT73" s="1315"/>
      <c r="DV73" s="436"/>
      <c r="DW73" s="436" t="str">
        <f t="shared" si="3"/>
        <v/>
      </c>
      <c r="DX73" s="436"/>
      <c r="DY73" s="436"/>
      <c r="DZ73" s="1081">
        <v>0</v>
      </c>
    </row>
    <row r="74" spans="1:130" s="1568" customFormat="1" ht="0" hidden="1" customHeight="1">
      <c r="A74" s="1301" t="s">
        <v>201</v>
      </c>
      <c r="B74" s="1301" t="s">
        <v>202</v>
      </c>
      <c r="C74" s="1301" t="s">
        <v>203</v>
      </c>
      <c r="D74" s="1300"/>
      <c r="E74" s="5416"/>
      <c r="F74" s="5416"/>
      <c r="G74" s="5415"/>
      <c r="H74" s="1300"/>
      <c r="I74" s="1300"/>
      <c r="J74" s="1300"/>
      <c r="K74" s="1300"/>
      <c r="L74" s="1300"/>
      <c r="M74" s="1303"/>
      <c r="N74" s="1304"/>
      <c r="O74" s="1304"/>
      <c r="P74" s="287"/>
      <c r="Q74" s="1242"/>
      <c r="R74" s="1243"/>
      <c r="S74" s="1242"/>
      <c r="T74" s="1242"/>
      <c r="U74" s="1248"/>
      <c r="V74" s="1251" t="s">
        <v>163</v>
      </c>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R74" s="1250"/>
      <c r="AS74" s="1250"/>
      <c r="AT74" s="1250"/>
      <c r="AU74" s="1250"/>
      <c r="AV74" s="1250"/>
      <c r="AW74" s="1250"/>
      <c r="AX74" s="1250"/>
      <c r="AY74" s="1250"/>
      <c r="AZ74" s="1250"/>
      <c r="BA74" s="1250"/>
      <c r="BB74" s="1250"/>
      <c r="BC74" s="1250"/>
      <c r="BD74" s="1250"/>
      <c r="BE74" s="1250"/>
      <c r="BF74" s="1250"/>
      <c r="BG74" s="1250"/>
      <c r="BH74" s="1250"/>
      <c r="BI74" s="1250"/>
      <c r="BJ74" s="1250"/>
      <c r="BK74" s="1250"/>
      <c r="BL74" s="1250"/>
      <c r="BM74" s="1250"/>
      <c r="BN74" s="1250"/>
      <c r="BO74" s="1250"/>
      <c r="BP74" s="1250"/>
      <c r="BQ74" s="1250"/>
      <c r="BR74" s="1250"/>
      <c r="BS74" s="1250"/>
      <c r="BT74" s="1250"/>
      <c r="BU74" s="1250"/>
      <c r="BV74" s="1250"/>
      <c r="BW74" s="1250"/>
      <c r="BX74" s="1250"/>
      <c r="BY74" s="1250"/>
      <c r="BZ74" s="1250"/>
      <c r="CA74" s="1250"/>
      <c r="CB74" s="1250"/>
      <c r="CC74" s="1250"/>
      <c r="CD74" s="1250"/>
      <c r="CE74" s="1250"/>
      <c r="CF74" s="1250"/>
      <c r="CG74" s="1250"/>
      <c r="CH74" s="1250"/>
      <c r="CI74" s="1250"/>
      <c r="CJ74" s="1250"/>
      <c r="CK74" s="1250"/>
      <c r="CL74" s="1250"/>
      <c r="CM74" s="1250"/>
      <c r="CN74" s="1250"/>
      <c r="CO74" s="1250"/>
      <c r="CP74" s="1250"/>
      <c r="CQ74" s="1250"/>
      <c r="CR74" s="1250"/>
      <c r="CS74" s="1250"/>
      <c r="CT74" s="1250"/>
      <c r="CU74" s="1250"/>
      <c r="CV74" s="1250"/>
      <c r="CW74" s="1250"/>
      <c r="CX74" s="1250"/>
      <c r="CY74" s="1250"/>
      <c r="CZ74" s="1250"/>
      <c r="DA74" s="1250"/>
      <c r="DB74" s="1250"/>
      <c r="DC74" s="1250"/>
      <c r="DD74" s="1250"/>
      <c r="DE74" s="1250"/>
      <c r="DF74" s="1250"/>
      <c r="DG74" s="1250"/>
      <c r="DH74" s="1250"/>
      <c r="DI74" s="1250"/>
      <c r="DJ74" s="1250"/>
      <c r="DK74" s="1250"/>
      <c r="DL74" s="1250"/>
      <c r="DM74" s="1250"/>
      <c r="DN74" s="1250"/>
      <c r="DO74" s="1250"/>
      <c r="DP74" s="1250"/>
      <c r="DQ74" s="1250"/>
      <c r="DR74" s="1250"/>
      <c r="DS74" s="1250"/>
      <c r="DT74" s="1250"/>
      <c r="DV74" s="719"/>
      <c r="DW74" s="719" t="str">
        <f t="shared" si="3"/>
        <v>Добавить источник для дифференциации</v>
      </c>
      <c r="DX74" s="719"/>
      <c r="DY74" s="719"/>
      <c r="DZ74" s="454">
        <v>0</v>
      </c>
    </row>
    <row r="75" spans="1:130" s="1568" customFormat="1" ht="0" hidden="1" customHeight="1">
      <c r="A75" s="1301" t="s">
        <v>201</v>
      </c>
      <c r="B75" s="1301" t="s">
        <v>202</v>
      </c>
      <c r="C75" s="1300"/>
      <c r="D75" s="1300"/>
      <c r="E75" s="5416"/>
      <c r="F75" s="5415"/>
      <c r="G75" s="1300"/>
      <c r="H75" s="1300"/>
      <c r="I75" s="1300"/>
      <c r="J75" s="1300"/>
      <c r="K75" s="1300"/>
      <c r="L75" s="1300"/>
      <c r="M75" s="1303"/>
      <c r="N75" s="1305"/>
      <c r="O75" s="1305"/>
      <c r="P75" s="287"/>
      <c r="Q75" s="1242"/>
      <c r="R75" s="1243"/>
      <c r="S75" s="1242"/>
      <c r="T75" s="1242"/>
      <c r="U75" s="1248"/>
      <c r="V75" s="1251" t="s">
        <v>164</v>
      </c>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R75" s="1250"/>
      <c r="AS75" s="1250"/>
      <c r="AT75" s="1250"/>
      <c r="AU75" s="1250"/>
      <c r="AV75" s="1250"/>
      <c r="AW75" s="1250"/>
      <c r="AX75" s="1250"/>
      <c r="AY75" s="1250"/>
      <c r="AZ75" s="1250"/>
      <c r="BA75" s="1250"/>
      <c r="BB75" s="1250"/>
      <c r="BC75" s="1250"/>
      <c r="BD75" s="1250"/>
      <c r="BE75" s="1250"/>
      <c r="BF75" s="1250"/>
      <c r="BG75" s="1250"/>
      <c r="BH75" s="1250"/>
      <c r="BI75" s="1250"/>
      <c r="BJ75" s="1250"/>
      <c r="BK75" s="1250"/>
      <c r="BL75" s="1250"/>
      <c r="BM75" s="1250"/>
      <c r="BN75" s="1250"/>
      <c r="BO75" s="1250"/>
      <c r="BP75" s="1250"/>
      <c r="BQ75" s="1250"/>
      <c r="BR75" s="1250"/>
      <c r="BS75" s="1250"/>
      <c r="BT75" s="1250"/>
      <c r="BU75" s="1250"/>
      <c r="BV75" s="1250"/>
      <c r="BW75" s="1250"/>
      <c r="BX75" s="1250"/>
      <c r="BY75" s="1250"/>
      <c r="BZ75" s="1250"/>
      <c r="CA75" s="1250"/>
      <c r="CB75" s="1250"/>
      <c r="CC75" s="1250"/>
      <c r="CD75" s="1250"/>
      <c r="CE75" s="1250"/>
      <c r="CF75" s="1250"/>
      <c r="CG75" s="1250"/>
      <c r="CH75" s="1250"/>
      <c r="CI75" s="1250"/>
      <c r="CJ75" s="1250"/>
      <c r="CK75" s="1250"/>
      <c r="CL75" s="1250"/>
      <c r="CM75" s="1250"/>
      <c r="CN75" s="1250"/>
      <c r="CO75" s="1250"/>
      <c r="CP75" s="1250"/>
      <c r="CQ75" s="1250"/>
      <c r="CR75" s="1250"/>
      <c r="CS75" s="1250"/>
      <c r="CT75" s="1250"/>
      <c r="CU75" s="1250"/>
      <c r="CV75" s="1250"/>
      <c r="CW75" s="1250"/>
      <c r="CX75" s="1250"/>
      <c r="CY75" s="1250"/>
      <c r="CZ75" s="1250"/>
      <c r="DA75" s="1250"/>
      <c r="DB75" s="1250"/>
      <c r="DC75" s="1250"/>
      <c r="DD75" s="1250"/>
      <c r="DE75" s="1250"/>
      <c r="DF75" s="1250"/>
      <c r="DG75" s="1250"/>
      <c r="DH75" s="1250"/>
      <c r="DI75" s="1250"/>
      <c r="DJ75" s="1250"/>
      <c r="DK75" s="1250"/>
      <c r="DL75" s="1250"/>
      <c r="DM75" s="1250"/>
      <c r="DN75" s="1250"/>
      <c r="DO75" s="1250"/>
      <c r="DP75" s="1250"/>
      <c r="DQ75" s="1250"/>
      <c r="DR75" s="1250"/>
      <c r="DS75" s="1250"/>
      <c r="DT75" s="1250"/>
      <c r="DV75" s="719"/>
      <c r="DW75" s="719" t="str">
        <f t="shared" si="3"/>
        <v>Добавить централизованную систему для дифференциации</v>
      </c>
      <c r="DX75" s="719"/>
      <c r="DY75" s="719"/>
      <c r="DZ75" s="454">
        <v>0</v>
      </c>
    </row>
    <row r="76" spans="1:130" s="1568" customFormat="1" ht="0" hidden="1" customHeight="1">
      <c r="A76" s="1301" t="s">
        <v>201</v>
      </c>
      <c r="B76" s="1301"/>
      <c r="C76" s="1301"/>
      <c r="D76" s="1301"/>
      <c r="E76" s="5415"/>
      <c r="F76" s="1301"/>
      <c r="G76" s="1301"/>
      <c r="H76" s="1301"/>
      <c r="I76" s="1301"/>
      <c r="J76" s="1301"/>
      <c r="K76" s="1301"/>
      <c r="L76" s="1301"/>
      <c r="M76" s="1307"/>
      <c r="N76" s="1305"/>
      <c r="O76" s="1305"/>
      <c r="P76" s="287"/>
      <c r="Q76" s="316"/>
      <c r="R76" s="1270"/>
      <c r="S76" s="316"/>
      <c r="T76" s="316"/>
      <c r="U76" s="1248"/>
      <c r="V76" s="1251" t="s">
        <v>165</v>
      </c>
      <c r="W76" s="1250"/>
      <c r="X76" s="1250"/>
      <c r="Y76" s="1250"/>
      <c r="Z76" s="1250"/>
      <c r="AA76" s="1250"/>
      <c r="AB76" s="1250"/>
      <c r="AC76" s="1250"/>
      <c r="AD76" s="1250"/>
      <c r="AE76" s="1250"/>
      <c r="AF76" s="1250"/>
      <c r="AG76" s="1250"/>
      <c r="AH76" s="1250"/>
      <c r="AI76" s="1250"/>
      <c r="AJ76" s="1250"/>
      <c r="AK76" s="1250"/>
      <c r="AL76" s="1250"/>
      <c r="AM76" s="1250"/>
      <c r="AN76" s="1250"/>
      <c r="AO76" s="1250"/>
      <c r="AP76" s="1250"/>
      <c r="AQ76" s="1250"/>
      <c r="AR76" s="1250"/>
      <c r="AS76" s="1250"/>
      <c r="AT76" s="1250"/>
      <c r="AU76" s="1250"/>
      <c r="AV76" s="1250"/>
      <c r="AW76" s="1250"/>
      <c r="AX76" s="1250"/>
      <c r="AY76" s="1250"/>
      <c r="AZ76" s="1250"/>
      <c r="BA76" s="1250"/>
      <c r="BB76" s="1250"/>
      <c r="BC76" s="1250"/>
      <c r="BD76" s="1250"/>
      <c r="BE76" s="1250"/>
      <c r="BF76" s="1250"/>
      <c r="BG76" s="1250"/>
      <c r="BH76" s="1250"/>
      <c r="BI76" s="1250"/>
      <c r="BJ76" s="1250"/>
      <c r="BK76" s="1250"/>
      <c r="BL76" s="1250"/>
      <c r="BM76" s="1250"/>
      <c r="BN76" s="1250"/>
      <c r="BO76" s="1250"/>
      <c r="BP76" s="1250"/>
      <c r="BQ76" s="1250"/>
      <c r="BR76" s="1250"/>
      <c r="BS76" s="1250"/>
      <c r="BT76" s="1250"/>
      <c r="BU76" s="1250"/>
      <c r="BV76" s="1250"/>
      <c r="BW76" s="1250"/>
      <c r="BX76" s="1250"/>
      <c r="BY76" s="1250"/>
      <c r="BZ76" s="1250"/>
      <c r="CA76" s="1250"/>
      <c r="CB76" s="1250"/>
      <c r="CC76" s="1250"/>
      <c r="CD76" s="1250"/>
      <c r="CE76" s="1250"/>
      <c r="CF76" s="1250"/>
      <c r="CG76" s="1250"/>
      <c r="CH76" s="1250"/>
      <c r="CI76" s="1250"/>
      <c r="CJ76" s="1250"/>
      <c r="CK76" s="1250"/>
      <c r="CL76" s="1250"/>
      <c r="CM76" s="1250"/>
      <c r="CN76" s="1250"/>
      <c r="CO76" s="1250"/>
      <c r="CP76" s="1250"/>
      <c r="CQ76" s="1250"/>
      <c r="CR76" s="1250"/>
      <c r="CS76" s="1250"/>
      <c r="CT76" s="1250"/>
      <c r="CU76" s="1250"/>
      <c r="CV76" s="1250"/>
      <c r="CW76" s="1250"/>
      <c r="CX76" s="1250"/>
      <c r="CY76" s="1250"/>
      <c r="CZ76" s="1250"/>
      <c r="DA76" s="1250"/>
      <c r="DB76" s="1250"/>
      <c r="DC76" s="1250"/>
      <c r="DD76" s="1250"/>
      <c r="DE76" s="1250"/>
      <c r="DF76" s="1250"/>
      <c r="DG76" s="1250"/>
      <c r="DH76" s="1250"/>
      <c r="DI76" s="1250"/>
      <c r="DJ76" s="1250"/>
      <c r="DK76" s="1250"/>
      <c r="DL76" s="1250"/>
      <c r="DM76" s="1250"/>
      <c r="DN76" s="1250"/>
      <c r="DO76" s="1250"/>
      <c r="DP76" s="1250"/>
      <c r="DQ76" s="1250"/>
      <c r="DR76" s="1250"/>
      <c r="DS76" s="1250"/>
      <c r="DT76" s="1250"/>
      <c r="DV76" s="436"/>
      <c r="DW76" s="436" t="str">
        <f t="shared" si="3"/>
        <v>Добавить территорию для дифференциации</v>
      </c>
      <c r="DX76" s="436"/>
      <c r="DY76" s="436"/>
      <c r="DZ76" s="447">
        <v>0</v>
      </c>
    </row>
    <row r="77" spans="1:130" s="1568" customFormat="1" ht="4.1500000000000004" customHeight="1">
      <c r="A77" s="1300"/>
      <c r="B77" s="1300"/>
      <c r="C77" s="1300"/>
      <c r="D77" s="1300"/>
      <c r="E77" s="1301"/>
      <c r="F77" s="1300"/>
      <c r="G77" s="1300"/>
      <c r="H77" s="1300"/>
      <c r="I77" s="1300"/>
      <c r="J77" s="1300"/>
      <c r="K77" s="1300"/>
      <c r="L77" s="1300"/>
      <c r="M77" s="1303"/>
      <c r="N77" s="1305"/>
      <c r="O77" s="1305"/>
      <c r="P77" s="287"/>
      <c r="Q77" s="1242"/>
      <c r="R77" s="1243"/>
      <c r="S77" s="1242"/>
      <c r="T77" s="1242"/>
      <c r="U77" s="1248"/>
      <c r="V77" s="1251" t="s">
        <v>182</v>
      </c>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V77" s="1250"/>
      <c r="AW77" s="1250"/>
      <c r="AX77" s="1250"/>
      <c r="AY77" s="1250"/>
      <c r="AZ77" s="1250"/>
      <c r="BA77" s="1250"/>
      <c r="BB77" s="1250"/>
      <c r="BC77" s="1250"/>
      <c r="BD77" s="1250"/>
      <c r="BE77" s="1250"/>
      <c r="BF77" s="1250"/>
      <c r="BG77" s="1250"/>
      <c r="BH77" s="1250"/>
      <c r="BI77" s="1250"/>
      <c r="BJ77" s="1250"/>
      <c r="BK77" s="1250"/>
      <c r="BL77" s="1250"/>
      <c r="BM77" s="1250"/>
      <c r="BN77" s="1250"/>
      <c r="BO77" s="1250"/>
      <c r="BP77" s="1250"/>
      <c r="BQ77" s="1250"/>
      <c r="BR77" s="1250"/>
      <c r="BS77" s="1250"/>
      <c r="BT77" s="1250"/>
      <c r="BU77" s="1250"/>
      <c r="BV77" s="1250"/>
      <c r="BW77" s="1250"/>
      <c r="BX77" s="1250"/>
      <c r="BY77" s="1250"/>
      <c r="BZ77" s="1250"/>
      <c r="CA77" s="1250"/>
      <c r="CB77" s="1250"/>
      <c r="CC77" s="1250"/>
      <c r="CD77" s="1250"/>
      <c r="CE77" s="1250"/>
      <c r="CF77" s="1250"/>
      <c r="CG77" s="1250"/>
      <c r="CH77" s="1250"/>
      <c r="CI77" s="1250"/>
      <c r="CJ77" s="1250"/>
      <c r="CK77" s="1250"/>
      <c r="CL77" s="1250"/>
      <c r="CM77" s="1250"/>
      <c r="CN77" s="1250"/>
      <c r="CO77" s="1250"/>
      <c r="CP77" s="1250"/>
      <c r="CQ77" s="1250"/>
      <c r="CR77" s="1250"/>
      <c r="CS77" s="1250"/>
      <c r="CT77" s="1250"/>
      <c r="CU77" s="1250"/>
      <c r="CV77" s="1250"/>
      <c r="CW77" s="1250"/>
      <c r="CX77" s="1250"/>
      <c r="CY77" s="1250"/>
      <c r="CZ77" s="1250"/>
      <c r="DA77" s="1250"/>
      <c r="DB77" s="1250"/>
      <c r="DC77" s="1250"/>
      <c r="DD77" s="1250"/>
      <c r="DE77" s="1250"/>
      <c r="DF77" s="1250"/>
      <c r="DG77" s="1250"/>
      <c r="DH77" s="1250"/>
      <c r="DI77" s="1250"/>
      <c r="DJ77" s="1250"/>
      <c r="DK77" s="1250"/>
      <c r="DL77" s="1250"/>
      <c r="DM77" s="1250"/>
      <c r="DN77" s="1250"/>
      <c r="DO77" s="1250"/>
      <c r="DP77" s="1250"/>
      <c r="DQ77" s="1250"/>
      <c r="DR77" s="1250"/>
      <c r="DS77" s="1250"/>
      <c r="DT77" s="1250"/>
      <c r="DV77" s="719"/>
      <c r="DW77" s="719" t="str">
        <f t="shared" si="3"/>
        <v>Добавить наименование тарифа</v>
      </c>
      <c r="DX77" s="719"/>
      <c r="DY77" s="719"/>
      <c r="DZ77" s="454">
        <v>4</v>
      </c>
    </row>
    <row r="78" spans="1:130" ht="11.45" customHeight="1">
      <c r="N78" s="1081"/>
      <c r="O78" s="1081"/>
      <c r="P78" s="445"/>
      <c r="Q78" s="1081"/>
      <c r="R78" s="1081"/>
      <c r="S78" s="1081"/>
      <c r="T78" s="1081"/>
      <c r="U78" s="1081"/>
      <c r="AP78" s="1561"/>
      <c r="AQ78" s="1561"/>
      <c r="AR78" s="1561"/>
      <c r="AS78" s="1561"/>
      <c r="AT78" s="1561"/>
      <c r="AU78" s="1561"/>
      <c r="AV78" s="1561"/>
      <c r="AW78" s="1561"/>
      <c r="AX78" s="1561"/>
      <c r="AY78" s="1561"/>
      <c r="AZ78" s="1561"/>
      <c r="BA78" s="1561"/>
      <c r="BB78" s="1561"/>
      <c r="BC78" s="1561"/>
      <c r="BD78" s="1561"/>
      <c r="BE78" s="1561"/>
      <c r="BF78" s="1561"/>
      <c r="BG78" s="1561"/>
      <c r="BH78" s="1561"/>
      <c r="BI78" s="1561"/>
      <c r="BJ78" s="1561"/>
      <c r="BK78" s="1561"/>
      <c r="BL78" s="1561"/>
      <c r="BM78" s="1561"/>
      <c r="BN78" s="1561"/>
      <c r="BO78" s="1561"/>
      <c r="BP78" s="1561"/>
      <c r="BQ78" s="1561"/>
      <c r="BR78" s="1561"/>
      <c r="BS78" s="1561"/>
      <c r="BT78" s="1561"/>
      <c r="BU78" s="1561"/>
      <c r="BV78" s="1561"/>
      <c r="BW78" s="1561"/>
      <c r="BX78" s="1561"/>
      <c r="BY78" s="1561"/>
      <c r="BZ78" s="1561"/>
      <c r="CA78" s="1561"/>
      <c r="CB78" s="1561"/>
      <c r="CC78" s="1561"/>
      <c r="CD78" s="1561"/>
      <c r="CE78" s="1561"/>
      <c r="CF78" s="1561"/>
      <c r="CG78" s="1561"/>
      <c r="CH78" s="1561"/>
      <c r="CI78" s="1561"/>
      <c r="CJ78" s="1561"/>
      <c r="CK78" s="1561"/>
      <c r="CL78" s="1561"/>
      <c r="CM78" s="1561"/>
      <c r="CN78" s="1561"/>
      <c r="CO78" s="1561"/>
      <c r="CP78" s="1561"/>
      <c r="CQ78" s="1561"/>
      <c r="CR78" s="1561"/>
      <c r="CS78" s="1561"/>
      <c r="CT78" s="1561"/>
      <c r="CU78" s="1561"/>
      <c r="CV78" s="1561"/>
      <c r="CW78" s="1561"/>
      <c r="CX78" s="1561"/>
      <c r="CY78" s="1561"/>
      <c r="CZ78" s="1561"/>
      <c r="DA78" s="1561"/>
      <c r="DB78" s="1561"/>
      <c r="DC78" s="1561"/>
      <c r="DD78" s="1561"/>
      <c r="DE78" s="1561"/>
      <c r="DF78" s="1561"/>
      <c r="DG78" s="1561"/>
      <c r="DH78" s="1561"/>
      <c r="DI78" s="1561"/>
      <c r="DJ78" s="1561"/>
      <c r="DK78" s="1561"/>
      <c r="DL78" s="1561"/>
      <c r="DM78" s="1561"/>
      <c r="DN78" s="1561"/>
      <c r="DO78" s="1561"/>
      <c r="DP78" s="1561"/>
      <c r="DQ78" s="1561"/>
      <c r="DR78" s="5155"/>
      <c r="DU78" s="1081"/>
      <c r="DV78" s="1081"/>
      <c r="DW78" s="1081"/>
      <c r="DX78" s="1081"/>
      <c r="DY78" s="1081"/>
      <c r="DZ78" s="1081">
        <v>11</v>
      </c>
    </row>
    <row r="79" spans="1:130" ht="35.65" customHeight="1">
      <c r="P79" s="445"/>
      <c r="U79" s="1179"/>
      <c r="V79" s="5379"/>
      <c r="W79" s="5379"/>
      <c r="X79" s="5379"/>
      <c r="Y79" s="5379"/>
      <c r="Z79" s="5379"/>
      <c r="AA79" s="5379"/>
      <c r="AB79" s="5379"/>
      <c r="AC79" s="5379"/>
      <c r="AD79" s="5379"/>
      <c r="AE79" s="5379"/>
      <c r="AF79" s="5379"/>
      <c r="AG79" s="5379"/>
      <c r="AH79" s="5379"/>
      <c r="AI79" s="5379"/>
      <c r="AJ79" s="5379"/>
      <c r="AK79" s="5379"/>
      <c r="AL79" s="5379"/>
      <c r="AM79" s="5379"/>
      <c r="AN79" s="5379"/>
      <c r="AO79" s="5379"/>
      <c r="AP79" s="5379"/>
      <c r="AQ79" s="5379"/>
      <c r="AR79" s="5379"/>
      <c r="AS79" s="5379"/>
      <c r="AT79" s="5379"/>
      <c r="AU79" s="5379"/>
      <c r="AV79" s="5379"/>
      <c r="AW79" s="5379"/>
      <c r="AX79" s="5379"/>
      <c r="AY79" s="5379"/>
      <c r="AZ79" s="5379"/>
      <c r="BA79" s="5379"/>
      <c r="BB79" s="5379"/>
      <c r="BC79" s="5379"/>
      <c r="BD79" s="5379"/>
      <c r="BE79" s="5379"/>
      <c r="BF79" s="5379"/>
      <c r="BG79" s="5379"/>
      <c r="BH79" s="5379"/>
      <c r="BI79" s="5379"/>
      <c r="BJ79" s="5379"/>
      <c r="BK79" s="5379"/>
      <c r="BL79" s="5379"/>
      <c r="BM79" s="5379"/>
      <c r="BN79" s="5379"/>
      <c r="BO79" s="5379"/>
      <c r="BP79" s="5379"/>
      <c r="BQ79" s="5379"/>
      <c r="BR79" s="5379"/>
      <c r="BS79" s="5379"/>
      <c r="BT79" s="5379"/>
      <c r="BU79" s="5379"/>
      <c r="BV79" s="5379"/>
      <c r="BW79" s="5379"/>
      <c r="BX79" s="5379"/>
      <c r="BY79" s="5379"/>
      <c r="BZ79" s="5379"/>
      <c r="CA79" s="5379"/>
      <c r="CB79" s="5379"/>
      <c r="CC79" s="5379"/>
      <c r="CD79" s="5379"/>
      <c r="CE79" s="5379"/>
      <c r="CF79" s="5379"/>
      <c r="CG79" s="5379"/>
      <c r="CH79" s="5379"/>
      <c r="CI79" s="5379"/>
      <c r="CJ79" s="5379"/>
      <c r="CK79" s="5379"/>
      <c r="CL79" s="5379"/>
      <c r="CM79" s="5379"/>
      <c r="CN79" s="5379"/>
      <c r="CO79" s="5379"/>
      <c r="CP79" s="5379"/>
      <c r="CQ79" s="5379"/>
      <c r="CR79" s="5379"/>
      <c r="CS79" s="5379"/>
      <c r="CT79" s="5379"/>
      <c r="CU79" s="5379"/>
      <c r="CV79" s="5379"/>
      <c r="CW79" s="5379"/>
      <c r="CX79" s="5379"/>
      <c r="CY79" s="5379"/>
      <c r="CZ79" s="5379"/>
      <c r="DA79" s="5379"/>
      <c r="DB79" s="5379"/>
      <c r="DC79" s="5379"/>
      <c r="DD79" s="5379"/>
      <c r="DE79" s="5379"/>
      <c r="DF79" s="5379"/>
      <c r="DG79" s="5379"/>
      <c r="DH79" s="5379"/>
      <c r="DI79" s="5379"/>
      <c r="DJ79" s="5379"/>
      <c r="DK79" s="5379"/>
      <c r="DL79" s="5379"/>
      <c r="DM79" s="5379"/>
      <c r="DN79" s="5379"/>
      <c r="DO79" s="5379"/>
      <c r="DP79" s="5379"/>
      <c r="DQ79" s="5379"/>
      <c r="DR79" s="5380"/>
      <c r="DS79" s="5379"/>
      <c r="DT79" s="5379"/>
      <c r="DZ79" s="1081">
        <v>34</v>
      </c>
    </row>
    <row r="80" spans="1:130" ht="21" customHeight="1">
      <c r="P80" s="445"/>
      <c r="V80" s="5379"/>
      <c r="W80" s="5379"/>
      <c r="X80" s="5379"/>
      <c r="Y80" s="5379"/>
      <c r="Z80" s="5379"/>
      <c r="AA80" s="5379"/>
      <c r="AB80" s="5379"/>
      <c r="AC80" s="5379"/>
      <c r="AD80" s="5379"/>
      <c r="AE80" s="5379"/>
      <c r="AF80" s="5379"/>
      <c r="AG80" s="5379"/>
      <c r="AH80" s="5379"/>
      <c r="AI80" s="5379"/>
      <c r="AJ80" s="5379"/>
      <c r="AK80" s="5379"/>
      <c r="AL80" s="5379"/>
      <c r="AM80" s="5379"/>
      <c r="AN80" s="5379"/>
      <c r="AO80" s="5379"/>
      <c r="AP80" s="5379"/>
      <c r="AQ80" s="5379"/>
      <c r="AR80" s="5379"/>
      <c r="AS80" s="5379"/>
      <c r="AT80" s="5379"/>
      <c r="AU80" s="5379"/>
      <c r="AV80" s="5379"/>
      <c r="AW80" s="5379"/>
      <c r="AX80" s="5379"/>
      <c r="AY80" s="5379"/>
      <c r="AZ80" s="5379"/>
      <c r="BA80" s="5379"/>
      <c r="BB80" s="5379"/>
      <c r="BC80" s="5379"/>
      <c r="BD80" s="5379"/>
      <c r="BE80" s="5379"/>
      <c r="BF80" s="5379"/>
      <c r="BG80" s="5379"/>
      <c r="BH80" s="5379"/>
      <c r="BI80" s="5379"/>
      <c r="BJ80" s="5379"/>
      <c r="BK80" s="5379"/>
      <c r="BL80" s="5379"/>
      <c r="BM80" s="5379"/>
      <c r="BN80" s="5379"/>
      <c r="BO80" s="5379"/>
      <c r="BP80" s="5379"/>
      <c r="BQ80" s="5379"/>
      <c r="BR80" s="5379"/>
      <c r="BS80" s="5379"/>
      <c r="BT80" s="5379"/>
      <c r="BU80" s="5379"/>
      <c r="BV80" s="5379"/>
      <c r="BW80" s="5379"/>
      <c r="BX80" s="5379"/>
      <c r="BY80" s="5379"/>
      <c r="BZ80" s="5379"/>
      <c r="CA80" s="5379"/>
      <c r="CB80" s="5379"/>
      <c r="CC80" s="5379"/>
      <c r="CD80" s="5379"/>
      <c r="CE80" s="5379"/>
      <c r="CF80" s="5379"/>
      <c r="CG80" s="5379"/>
      <c r="CH80" s="5379"/>
      <c r="CI80" s="5379"/>
      <c r="CJ80" s="5379"/>
      <c r="CK80" s="5379"/>
      <c r="CL80" s="5379"/>
      <c r="CM80" s="5379"/>
      <c r="CN80" s="5379"/>
      <c r="CO80" s="5379"/>
      <c r="CP80" s="5379"/>
      <c r="CQ80" s="5379"/>
      <c r="CR80" s="5379"/>
      <c r="CS80" s="5379"/>
      <c r="CT80" s="5379"/>
      <c r="CU80" s="5379"/>
      <c r="CV80" s="5379"/>
      <c r="CW80" s="5379"/>
      <c r="CX80" s="5379"/>
      <c r="CY80" s="5379"/>
      <c r="CZ80" s="5379"/>
      <c r="DA80" s="5379"/>
      <c r="DB80" s="5379"/>
      <c r="DC80" s="5379"/>
      <c r="DD80" s="5379"/>
      <c r="DE80" s="5379"/>
      <c r="DF80" s="5379"/>
      <c r="DG80" s="5379"/>
      <c r="DH80" s="5379"/>
      <c r="DI80" s="5379"/>
      <c r="DJ80" s="5379"/>
      <c r="DK80" s="5379"/>
      <c r="DL80" s="5379"/>
      <c r="DM80" s="5379"/>
      <c r="DN80" s="5379"/>
      <c r="DO80" s="5379"/>
      <c r="DP80" s="5379"/>
      <c r="DQ80" s="5379"/>
      <c r="DR80" s="5380"/>
      <c r="DS80" s="5379"/>
      <c r="DT80" s="5379"/>
      <c r="DZ80" s="1081">
        <v>20</v>
      </c>
    </row>
    <row r="81" spans="1:130" ht="14.65" customHeight="1">
      <c r="P81" s="445"/>
      <c r="AP81" s="1561"/>
      <c r="AQ81" s="1561"/>
      <c r="AR81" s="1561"/>
      <c r="AS81" s="1561"/>
      <c r="AT81" s="1561"/>
      <c r="AU81" s="1561"/>
      <c r="AV81" s="1561"/>
      <c r="AW81" s="1561"/>
      <c r="AX81" s="1561"/>
      <c r="AY81" s="1561"/>
      <c r="AZ81" s="1561"/>
      <c r="BA81" s="1561"/>
      <c r="BB81" s="1561"/>
      <c r="BC81" s="1561"/>
      <c r="BD81" s="1561"/>
      <c r="BE81" s="1561"/>
      <c r="BF81" s="1561"/>
      <c r="BG81" s="1561"/>
      <c r="BH81" s="1561"/>
      <c r="BI81" s="1561"/>
      <c r="BJ81" s="1561"/>
      <c r="BK81" s="1561"/>
      <c r="BL81" s="1561"/>
      <c r="BM81" s="1561"/>
      <c r="BN81" s="1561"/>
      <c r="BO81" s="1561"/>
      <c r="BP81" s="1561"/>
      <c r="BQ81" s="1561"/>
      <c r="BR81" s="1561"/>
      <c r="BS81" s="1561"/>
      <c r="BT81" s="1561"/>
      <c r="BU81" s="1561"/>
      <c r="BV81" s="1561"/>
      <c r="BW81" s="1561"/>
      <c r="BX81" s="1561"/>
      <c r="BY81" s="1561"/>
      <c r="BZ81" s="1561"/>
      <c r="CA81" s="1561"/>
      <c r="CB81" s="1561"/>
      <c r="CC81" s="1561"/>
      <c r="CD81" s="1561"/>
      <c r="CE81" s="1561"/>
      <c r="CF81" s="1561"/>
      <c r="CG81" s="1561"/>
      <c r="CH81" s="1561"/>
      <c r="CI81" s="1561"/>
      <c r="CJ81" s="1561"/>
      <c r="CK81" s="1561"/>
      <c r="CL81" s="1561"/>
      <c r="CM81" s="1561"/>
      <c r="CN81" s="1561"/>
      <c r="CO81" s="1561"/>
      <c r="CP81" s="1561"/>
      <c r="CQ81" s="1561"/>
      <c r="CR81" s="1561"/>
      <c r="CS81" s="1561"/>
      <c r="CT81" s="1561"/>
      <c r="CU81" s="1561"/>
      <c r="CV81" s="1561"/>
      <c r="CW81" s="1561"/>
      <c r="CX81" s="1561"/>
      <c r="CY81" s="1561"/>
      <c r="CZ81" s="1561"/>
      <c r="DA81" s="1561"/>
      <c r="DB81" s="1561"/>
      <c r="DC81" s="1561"/>
      <c r="DD81" s="1561"/>
      <c r="DE81" s="1561"/>
      <c r="DF81" s="1561"/>
      <c r="DG81" s="1561"/>
      <c r="DH81" s="1561"/>
      <c r="DI81" s="1561"/>
      <c r="DJ81" s="1561"/>
      <c r="DK81" s="1561"/>
      <c r="DL81" s="1561"/>
      <c r="DM81" s="1561"/>
      <c r="DN81" s="1561"/>
      <c r="DO81" s="1561"/>
      <c r="DP81" s="1561"/>
      <c r="DQ81" s="1561"/>
      <c r="DR81" s="5155"/>
      <c r="DZ81" s="1081">
        <v>14</v>
      </c>
    </row>
    <row r="82" spans="1:130" ht="28.5" customHeight="1">
      <c r="P82" s="445"/>
      <c r="V82" s="5379"/>
      <c r="W82" s="5379"/>
      <c r="X82" s="5379"/>
      <c r="Y82" s="5379"/>
      <c r="Z82" s="5379"/>
      <c r="AA82" s="5379"/>
      <c r="AB82" s="5379"/>
      <c r="AC82" s="5379"/>
      <c r="AD82" s="5379"/>
      <c r="AE82" s="5379"/>
      <c r="AF82" s="5379"/>
      <c r="AG82" s="5379"/>
      <c r="AH82" s="5379"/>
      <c r="AI82" s="5379"/>
      <c r="AJ82" s="5379"/>
      <c r="AK82" s="5379"/>
      <c r="AL82" s="5379"/>
      <c r="AM82" s="5379"/>
      <c r="AN82" s="5379"/>
      <c r="AO82" s="5379"/>
      <c r="AP82" s="5379"/>
      <c r="AQ82" s="5379"/>
      <c r="AR82" s="5379"/>
      <c r="AS82" s="5379"/>
      <c r="AT82" s="5379"/>
      <c r="AU82" s="5379"/>
      <c r="AV82" s="5379"/>
      <c r="AW82" s="5379"/>
      <c r="AX82" s="5379"/>
      <c r="AY82" s="5379"/>
      <c r="AZ82" s="5379"/>
      <c r="BA82" s="5379"/>
      <c r="BB82" s="5379"/>
      <c r="BC82" s="5379"/>
      <c r="BD82" s="5379"/>
      <c r="BE82" s="5379"/>
      <c r="BF82" s="5379"/>
      <c r="BG82" s="5379"/>
      <c r="BH82" s="5379"/>
      <c r="BI82" s="5379"/>
      <c r="BJ82" s="5379"/>
      <c r="BK82" s="5379"/>
      <c r="BL82" s="5379"/>
      <c r="BM82" s="5379"/>
      <c r="BN82" s="5379"/>
      <c r="BO82" s="5379"/>
      <c r="BP82" s="5379"/>
      <c r="BQ82" s="5379"/>
      <c r="BR82" s="5379"/>
      <c r="BS82" s="5379"/>
      <c r="BT82" s="5379"/>
      <c r="BU82" s="5379"/>
      <c r="BV82" s="5379"/>
      <c r="BW82" s="5379"/>
      <c r="BX82" s="5379"/>
      <c r="BY82" s="5379"/>
      <c r="BZ82" s="5379"/>
      <c r="CA82" s="5379"/>
      <c r="CB82" s="5379"/>
      <c r="CC82" s="5379"/>
      <c r="CD82" s="5379"/>
      <c r="CE82" s="5379"/>
      <c r="CF82" s="5379"/>
      <c r="CG82" s="5379"/>
      <c r="CH82" s="5379"/>
      <c r="CI82" s="5379"/>
      <c r="CJ82" s="5379"/>
      <c r="CK82" s="5379"/>
      <c r="CL82" s="5379"/>
      <c r="CM82" s="5379"/>
      <c r="CN82" s="5379"/>
      <c r="CO82" s="5379"/>
      <c r="CP82" s="5379"/>
      <c r="CQ82" s="5379"/>
      <c r="CR82" s="5379"/>
      <c r="CS82" s="5379"/>
      <c r="CT82" s="5379"/>
      <c r="CU82" s="5379"/>
      <c r="CV82" s="5379"/>
      <c r="CW82" s="5379"/>
      <c r="CX82" s="5379"/>
      <c r="CY82" s="5379"/>
      <c r="CZ82" s="5379"/>
      <c r="DA82" s="5379"/>
      <c r="DB82" s="5379"/>
      <c r="DC82" s="5379"/>
      <c r="DD82" s="5379"/>
      <c r="DE82" s="5379"/>
      <c r="DF82" s="5379"/>
      <c r="DG82" s="5379"/>
      <c r="DH82" s="5379"/>
      <c r="DI82" s="5379"/>
      <c r="DJ82" s="5379"/>
      <c r="DK82" s="5379"/>
      <c r="DL82" s="5379"/>
      <c r="DM82" s="5379"/>
      <c r="DN82" s="5379"/>
      <c r="DO82" s="5379"/>
      <c r="DP82" s="5379"/>
      <c r="DQ82" s="5379"/>
      <c r="DR82" s="5380"/>
      <c r="DS82" s="5379"/>
      <c r="DT82" s="5379"/>
      <c r="DZ82" s="1081">
        <v>27</v>
      </c>
    </row>
    <row r="83" spans="1:130" ht="18.75" customHeight="1">
      <c r="P83" s="445"/>
      <c r="V83" s="5379"/>
      <c r="W83" s="5379"/>
      <c r="X83" s="5379"/>
      <c r="Y83" s="5379"/>
      <c r="Z83" s="5379"/>
      <c r="AA83" s="5379"/>
      <c r="AB83" s="5379"/>
      <c r="AC83" s="5379"/>
      <c r="AD83" s="5379"/>
      <c r="AE83" s="5379"/>
      <c r="AF83" s="5379"/>
      <c r="AG83" s="5379"/>
      <c r="AH83" s="5379"/>
      <c r="AI83" s="5379"/>
      <c r="AJ83" s="5379"/>
      <c r="AK83" s="5379"/>
      <c r="AL83" s="5379"/>
      <c r="AM83" s="5379"/>
      <c r="AN83" s="5379"/>
      <c r="AO83" s="5379"/>
      <c r="AP83" s="5379"/>
      <c r="AQ83" s="5379"/>
      <c r="AR83" s="5379"/>
      <c r="AS83" s="5379"/>
      <c r="AT83" s="5379"/>
      <c r="AU83" s="5379"/>
      <c r="AV83" s="5379"/>
      <c r="AW83" s="5379"/>
      <c r="AX83" s="5379"/>
      <c r="AY83" s="5379"/>
      <c r="AZ83" s="5379"/>
      <c r="BA83" s="5379"/>
      <c r="BB83" s="5379"/>
      <c r="BC83" s="5379"/>
      <c r="BD83" s="5379"/>
      <c r="BE83" s="5379"/>
      <c r="BF83" s="5379"/>
      <c r="BG83" s="5379"/>
      <c r="BH83" s="5379"/>
      <c r="BI83" s="5379"/>
      <c r="BJ83" s="5379"/>
      <c r="BK83" s="5379"/>
      <c r="BL83" s="5379"/>
      <c r="BM83" s="5379"/>
      <c r="BN83" s="5379"/>
      <c r="BO83" s="5379"/>
      <c r="BP83" s="5379"/>
      <c r="BQ83" s="5379"/>
      <c r="BR83" s="5379"/>
      <c r="BS83" s="5379"/>
      <c r="BT83" s="5379"/>
      <c r="BU83" s="5379"/>
      <c r="BV83" s="5379"/>
      <c r="BW83" s="5379"/>
      <c r="BX83" s="5379"/>
      <c r="BY83" s="5379"/>
      <c r="BZ83" s="5379"/>
      <c r="CA83" s="5379"/>
      <c r="CB83" s="5379"/>
      <c r="CC83" s="5379"/>
      <c r="CD83" s="5379"/>
      <c r="CE83" s="5379"/>
      <c r="CF83" s="5379"/>
      <c r="CG83" s="5379"/>
      <c r="CH83" s="5379"/>
      <c r="CI83" s="5379"/>
      <c r="CJ83" s="5379"/>
      <c r="CK83" s="5379"/>
      <c r="CL83" s="5379"/>
      <c r="CM83" s="5379"/>
      <c r="CN83" s="5379"/>
      <c r="CO83" s="5379"/>
      <c r="CP83" s="5379"/>
      <c r="CQ83" s="5379"/>
      <c r="CR83" s="5379"/>
      <c r="CS83" s="5379"/>
      <c r="CT83" s="5379"/>
      <c r="CU83" s="5379"/>
      <c r="CV83" s="5379"/>
      <c r="CW83" s="5379"/>
      <c r="CX83" s="5379"/>
      <c r="CY83" s="5379"/>
      <c r="CZ83" s="5379"/>
      <c r="DA83" s="5379"/>
      <c r="DB83" s="5379"/>
      <c r="DC83" s="5379"/>
      <c r="DD83" s="5379"/>
      <c r="DE83" s="5379"/>
      <c r="DF83" s="5379"/>
      <c r="DG83" s="5379"/>
      <c r="DH83" s="5379"/>
      <c r="DI83" s="5379"/>
      <c r="DJ83" s="5379"/>
      <c r="DK83" s="5379"/>
      <c r="DL83" s="5379"/>
      <c r="DM83" s="5379"/>
      <c r="DN83" s="5379"/>
      <c r="DO83" s="5379"/>
      <c r="DP83" s="5379"/>
      <c r="DQ83" s="5379"/>
      <c r="DR83" s="5380"/>
      <c r="DS83" s="5379"/>
      <c r="DT83" s="5379"/>
      <c r="DZ83" s="1081">
        <v>18</v>
      </c>
    </row>
    <row r="84" spans="1:130" ht="22.5" hidden="1" customHeight="1">
      <c r="A84" s="1081" t="s">
        <v>84</v>
      </c>
      <c r="B84" s="1081">
        <v>0</v>
      </c>
      <c r="C84" s="1081">
        <v>0</v>
      </c>
      <c r="D84" s="1081">
        <v>0</v>
      </c>
      <c r="E84" s="1081">
        <v>0</v>
      </c>
      <c r="F84" s="1081">
        <v>0</v>
      </c>
      <c r="G84" s="1081">
        <v>0</v>
      </c>
      <c r="H84" s="1081">
        <v>0</v>
      </c>
      <c r="I84" s="1081">
        <v>0</v>
      </c>
      <c r="J84" s="1081">
        <v>0</v>
      </c>
      <c r="K84" s="1081">
        <v>0</v>
      </c>
      <c r="L84" s="1081">
        <v>0</v>
      </c>
      <c r="M84" s="1253">
        <v>0</v>
      </c>
      <c r="N84" s="1254">
        <v>0</v>
      </c>
      <c r="O84" s="1254">
        <v>0</v>
      </c>
      <c r="P84" s="1254">
        <v>0</v>
      </c>
      <c r="Q84" s="1254">
        <v>0</v>
      </c>
      <c r="R84" s="281">
        <v>3</v>
      </c>
      <c r="S84" s="281">
        <v>3</v>
      </c>
      <c r="T84" s="281">
        <v>3</v>
      </c>
      <c r="U84" s="517">
        <v>12</v>
      </c>
      <c r="V84" s="1081">
        <v>31</v>
      </c>
      <c r="W84" s="1081">
        <v>0</v>
      </c>
      <c r="X84" s="1081">
        <v>0</v>
      </c>
      <c r="Y84" s="1081">
        <v>0</v>
      </c>
      <c r="Z84" s="1081">
        <v>0</v>
      </c>
      <c r="AA84" s="1081">
        <v>0</v>
      </c>
      <c r="AB84" s="1081">
        <v>0</v>
      </c>
      <c r="AC84" s="1081">
        <v>0</v>
      </c>
      <c r="AD84" s="1081">
        <v>0</v>
      </c>
      <c r="AE84" s="1081">
        <v>0</v>
      </c>
      <c r="AF84" s="1081">
        <v>0</v>
      </c>
      <c r="AG84" s="1081">
        <v>21</v>
      </c>
      <c r="AH84" s="1081">
        <v>21</v>
      </c>
      <c r="AI84" s="1081">
        <v>21</v>
      </c>
      <c r="AJ84" s="1081">
        <v>21</v>
      </c>
      <c r="AK84" s="1081">
        <v>21</v>
      </c>
      <c r="AL84" s="1081">
        <v>11</v>
      </c>
      <c r="AM84" s="1081">
        <v>3</v>
      </c>
      <c r="AN84" s="1081">
        <v>11</v>
      </c>
      <c r="AO84" s="1081">
        <v>8</v>
      </c>
      <c r="AP84" s="1561">
        <v>0</v>
      </c>
      <c r="AQ84" s="1561">
        <v>0</v>
      </c>
      <c r="AR84" s="1561">
        <v>0</v>
      </c>
      <c r="AS84" s="1561">
        <v>0</v>
      </c>
      <c r="AT84" s="1561">
        <v>0</v>
      </c>
      <c r="AU84" s="1561">
        <v>0</v>
      </c>
      <c r="AV84" s="1561">
        <v>0</v>
      </c>
      <c r="AW84" s="1561">
        <v>0</v>
      </c>
      <c r="AX84" s="1561">
        <v>0</v>
      </c>
      <c r="AY84" s="1561">
        <v>0</v>
      </c>
      <c r="AZ84" s="1561">
        <v>0</v>
      </c>
      <c r="BA84" s="1561">
        <v>0</v>
      </c>
      <c r="BB84" s="1561">
        <v>0</v>
      </c>
      <c r="BC84" s="1561">
        <v>0</v>
      </c>
      <c r="BD84" s="1561">
        <v>0</v>
      </c>
      <c r="BE84" s="1561">
        <v>0</v>
      </c>
      <c r="BF84" s="1561">
        <v>0</v>
      </c>
      <c r="BG84" s="1561">
        <v>0</v>
      </c>
      <c r="BH84" s="1561">
        <v>0</v>
      </c>
      <c r="BI84" s="1561">
        <v>0</v>
      </c>
      <c r="BJ84" s="1561">
        <v>0</v>
      </c>
      <c r="BK84" s="1561">
        <v>0</v>
      </c>
      <c r="BL84" s="1561">
        <v>0</v>
      </c>
      <c r="BM84" s="1561">
        <v>0</v>
      </c>
      <c r="BN84" s="1561">
        <v>0</v>
      </c>
      <c r="BO84" s="1561">
        <v>0</v>
      </c>
      <c r="BP84" s="1561">
        <v>0</v>
      </c>
      <c r="BQ84" s="1561">
        <v>0</v>
      </c>
      <c r="BR84" s="1561">
        <v>0</v>
      </c>
      <c r="BS84" s="1561">
        <v>0</v>
      </c>
      <c r="BT84" s="1561">
        <v>0</v>
      </c>
      <c r="BU84" s="1561">
        <v>0</v>
      </c>
      <c r="BV84" s="1561">
        <v>0</v>
      </c>
      <c r="BW84" s="1561">
        <v>0</v>
      </c>
      <c r="BX84" s="1561">
        <v>0</v>
      </c>
      <c r="BY84" s="1561">
        <v>0</v>
      </c>
      <c r="BZ84" s="1561">
        <v>0</v>
      </c>
      <c r="CA84" s="1561">
        <v>0</v>
      </c>
      <c r="CB84" s="1561">
        <v>0</v>
      </c>
      <c r="CC84" s="1561">
        <v>0</v>
      </c>
      <c r="CD84" s="1561">
        <v>0</v>
      </c>
      <c r="CE84" s="1561">
        <v>0</v>
      </c>
      <c r="CF84" s="1561">
        <v>0</v>
      </c>
      <c r="CG84" s="1561">
        <v>0</v>
      </c>
      <c r="CH84" s="1561">
        <v>0</v>
      </c>
      <c r="CI84" s="1561">
        <v>0</v>
      </c>
      <c r="CJ84" s="1561">
        <v>0</v>
      </c>
      <c r="CK84" s="1561">
        <v>0</v>
      </c>
      <c r="CL84" s="1561">
        <v>0</v>
      </c>
      <c r="CM84" s="1561">
        <v>0</v>
      </c>
      <c r="CN84" s="1561">
        <v>0</v>
      </c>
      <c r="CO84" s="1561">
        <v>0</v>
      </c>
      <c r="CP84" s="1561">
        <v>0</v>
      </c>
      <c r="CQ84" s="1561">
        <v>0</v>
      </c>
      <c r="CR84" s="1561">
        <v>0</v>
      </c>
      <c r="CS84" s="1561">
        <v>0</v>
      </c>
      <c r="CT84" s="1561">
        <v>0</v>
      </c>
      <c r="CU84" s="1561">
        <v>0</v>
      </c>
      <c r="CV84" s="1561">
        <v>0</v>
      </c>
      <c r="CW84" s="1561">
        <v>0</v>
      </c>
      <c r="CX84" s="1561">
        <v>0</v>
      </c>
      <c r="CY84" s="1561">
        <v>0</v>
      </c>
      <c r="CZ84" s="1561">
        <v>0</v>
      </c>
      <c r="DA84" s="1561">
        <v>0</v>
      </c>
      <c r="DB84" s="1561">
        <v>0</v>
      </c>
      <c r="DC84" s="1561">
        <v>0</v>
      </c>
      <c r="DD84" s="1561">
        <v>0</v>
      </c>
      <c r="DE84" s="1561">
        <v>0</v>
      </c>
      <c r="DF84" s="1561">
        <v>0</v>
      </c>
      <c r="DG84" s="1561">
        <v>0</v>
      </c>
      <c r="DH84" s="1561">
        <v>0</v>
      </c>
      <c r="DI84" s="1561">
        <v>0</v>
      </c>
      <c r="DJ84" s="1561">
        <v>0</v>
      </c>
      <c r="DK84" s="1561">
        <v>0</v>
      </c>
      <c r="DL84" s="1561">
        <v>0</v>
      </c>
      <c r="DM84" s="1561">
        <v>0</v>
      </c>
      <c r="DN84" s="1561">
        <v>0</v>
      </c>
      <c r="DO84" s="1561">
        <v>0</v>
      </c>
      <c r="DP84" s="1561">
        <v>0</v>
      </c>
      <c r="DQ84" s="1561">
        <v>0</v>
      </c>
      <c r="DR84" s="5155">
        <v>0</v>
      </c>
      <c r="DS84" s="1081">
        <v>4</v>
      </c>
      <c r="DT84" s="1081">
        <v>115</v>
      </c>
      <c r="DU84" s="447">
        <v>10</v>
      </c>
      <c r="DV84" s="447">
        <v>10</v>
      </c>
      <c r="DW84" s="447">
        <v>10</v>
      </c>
      <c r="DX84" s="447">
        <v>10</v>
      </c>
      <c r="DY84" s="447">
        <v>10</v>
      </c>
      <c r="DZ84" s="1081">
        <v>23</v>
      </c>
    </row>
  </sheetData>
  <sheetProtection formatColumns="0" formatRows="0" insertRows="0" deleteColumns="0" deleteRows="0" sort="0" autoFilter="0"/>
  <mergeCells count="469">
    <mergeCell ref="DP67:DP70"/>
    <mergeCell ref="DQ67:DQ70"/>
    <mergeCell ref="DR67:DR70"/>
    <mergeCell ref="CW67:CW70"/>
    <mergeCell ref="CX67:CX70"/>
    <mergeCell ref="CY67:CY70"/>
    <mergeCell ref="CZ67:CZ70"/>
    <mergeCell ref="DF67:DF70"/>
    <mergeCell ref="DG67:DG70"/>
    <mergeCell ref="DH67:DH70"/>
    <mergeCell ref="DI67:DI70"/>
    <mergeCell ref="DO67:DO70"/>
    <mergeCell ref="BY67:BY70"/>
    <mergeCell ref="CE67:CE70"/>
    <mergeCell ref="CF67:CF70"/>
    <mergeCell ref="CG67:CG70"/>
    <mergeCell ref="CH67:CH70"/>
    <mergeCell ref="CN67:CN70"/>
    <mergeCell ref="CO67:CO70"/>
    <mergeCell ref="CP67:CP70"/>
    <mergeCell ref="CQ67:CQ70"/>
    <mergeCell ref="BF67:BF70"/>
    <mergeCell ref="BG67:BG70"/>
    <mergeCell ref="BM67:BM70"/>
    <mergeCell ref="BN67:BN70"/>
    <mergeCell ref="BO67:BO70"/>
    <mergeCell ref="BP67:BP70"/>
    <mergeCell ref="BV67:BV70"/>
    <mergeCell ref="BW67:BW70"/>
    <mergeCell ref="BX67:BX70"/>
    <mergeCell ref="DQ61:DQ64"/>
    <mergeCell ref="DR61:DR64"/>
    <mergeCell ref="DT68:DT71"/>
    <mergeCell ref="J66:J71"/>
    <mergeCell ref="R66:R71"/>
    <mergeCell ref="X66:AF66"/>
    <mergeCell ref="AG66:DS66"/>
    <mergeCell ref="S67:S70"/>
    <mergeCell ref="K67:K70"/>
    <mergeCell ref="L68:L69"/>
    <mergeCell ref="AC67:AC70"/>
    <mergeCell ref="AE67:AE70"/>
    <mergeCell ref="AD67:AD70"/>
    <mergeCell ref="AF67:AF70"/>
    <mergeCell ref="AL67:AL70"/>
    <mergeCell ref="AM67:AM70"/>
    <mergeCell ref="AN67:AN70"/>
    <mergeCell ref="AO67:AO70"/>
    <mergeCell ref="AU67:AU70"/>
    <mergeCell ref="AV67:AV70"/>
    <mergeCell ref="AW67:AW70"/>
    <mergeCell ref="AX67:AX70"/>
    <mergeCell ref="BD67:BD70"/>
    <mergeCell ref="BE67:BE70"/>
    <mergeCell ref="CX61:CX64"/>
    <mergeCell ref="CY61:CY64"/>
    <mergeCell ref="CZ61:CZ64"/>
    <mergeCell ref="DF61:DF64"/>
    <mergeCell ref="DG61:DG64"/>
    <mergeCell ref="DH61:DH64"/>
    <mergeCell ref="DI61:DI64"/>
    <mergeCell ref="DO61:DO64"/>
    <mergeCell ref="DP61:DP64"/>
    <mergeCell ref="CE61:CE64"/>
    <mergeCell ref="CF61:CF64"/>
    <mergeCell ref="CG61:CG64"/>
    <mergeCell ref="CH61:CH64"/>
    <mergeCell ref="CN61:CN64"/>
    <mergeCell ref="CO61:CO64"/>
    <mergeCell ref="CP61:CP64"/>
    <mergeCell ref="CQ61:CQ64"/>
    <mergeCell ref="CW61:CW64"/>
    <mergeCell ref="BG61:BG64"/>
    <mergeCell ref="BM61:BM64"/>
    <mergeCell ref="BN61:BN64"/>
    <mergeCell ref="BO61:BO64"/>
    <mergeCell ref="BP61:BP64"/>
    <mergeCell ref="BV61:BV64"/>
    <mergeCell ref="BW61:BW64"/>
    <mergeCell ref="BX61:BX64"/>
    <mergeCell ref="BY61:BY64"/>
    <mergeCell ref="DR55:DR58"/>
    <mergeCell ref="DT62:DT65"/>
    <mergeCell ref="J60:J65"/>
    <mergeCell ref="R60:R65"/>
    <mergeCell ref="X60:AF60"/>
    <mergeCell ref="AG60:DS60"/>
    <mergeCell ref="S61:S64"/>
    <mergeCell ref="K61:K64"/>
    <mergeCell ref="L62:L63"/>
    <mergeCell ref="AC61:AC64"/>
    <mergeCell ref="AE61:AE64"/>
    <mergeCell ref="AD61:AD64"/>
    <mergeCell ref="AF61:AF64"/>
    <mergeCell ref="AL61:AL64"/>
    <mergeCell ref="AM61:AM64"/>
    <mergeCell ref="AN61:AN64"/>
    <mergeCell ref="AO61:AO64"/>
    <mergeCell ref="AU61:AU64"/>
    <mergeCell ref="AV61:AV64"/>
    <mergeCell ref="AW61:AW64"/>
    <mergeCell ref="AX61:AX64"/>
    <mergeCell ref="BD61:BD64"/>
    <mergeCell ref="BE61:BE64"/>
    <mergeCell ref="BF61:BF64"/>
    <mergeCell ref="DO8:DO11"/>
    <mergeCell ref="DP8:DP11"/>
    <mergeCell ref="DQ8:DQ11"/>
    <mergeCell ref="DR8:DR11"/>
    <mergeCell ref="DJ33:DQ33"/>
    <mergeCell ref="DJ34:DQ34"/>
    <mergeCell ref="DJ35:DQ35"/>
    <mergeCell ref="DJ36:DQ36"/>
    <mergeCell ref="DJ41:DR41"/>
    <mergeCell ref="DI55:DI58"/>
    <mergeCell ref="DJ39:DQ39"/>
    <mergeCell ref="DJ38:DQ38"/>
    <mergeCell ref="DK44:DN44"/>
    <mergeCell ref="DK45:DK47"/>
    <mergeCell ref="DL45:DN45"/>
    <mergeCell ref="DM46:DN46"/>
    <mergeCell ref="DL46:DL47"/>
    <mergeCell ref="DO46:DO47"/>
    <mergeCell ref="DP46:DQ47"/>
    <mergeCell ref="DO44:DQ45"/>
    <mergeCell ref="DJ43:DQ43"/>
    <mergeCell ref="DJ44:DJ47"/>
    <mergeCell ref="DP48:DQ48"/>
    <mergeCell ref="DO55:DO58"/>
    <mergeCell ref="DP55:DP58"/>
    <mergeCell ref="DQ55:DQ58"/>
    <mergeCell ref="DF8:DF11"/>
    <mergeCell ref="DG8:DG11"/>
    <mergeCell ref="DH8:DH11"/>
    <mergeCell ref="DI8:DI11"/>
    <mergeCell ref="DA33:DH33"/>
    <mergeCell ref="DA34:DH34"/>
    <mergeCell ref="DA35:DH35"/>
    <mergeCell ref="DA36:DH36"/>
    <mergeCell ref="DA41:DI41"/>
    <mergeCell ref="CZ55:CZ58"/>
    <mergeCell ref="DA39:DH39"/>
    <mergeCell ref="DA38:DH38"/>
    <mergeCell ref="DB44:DE44"/>
    <mergeCell ref="DB45:DB47"/>
    <mergeCell ref="DC45:DE45"/>
    <mergeCell ref="DD46:DE46"/>
    <mergeCell ref="DC46:DC47"/>
    <mergeCell ref="DF46:DF47"/>
    <mergeCell ref="DG46:DH47"/>
    <mergeCell ref="DF44:DH45"/>
    <mergeCell ref="DA43:DH43"/>
    <mergeCell ref="DA44:DA47"/>
    <mergeCell ref="DG48:DH48"/>
    <mergeCell ref="DF55:DF58"/>
    <mergeCell ref="DG55:DG58"/>
    <mergeCell ref="DH55:DH58"/>
    <mergeCell ref="CW8:CW11"/>
    <mergeCell ref="CX8:CX11"/>
    <mergeCell ref="CY8:CY11"/>
    <mergeCell ref="CZ8:CZ11"/>
    <mergeCell ref="CR33:CY33"/>
    <mergeCell ref="CR34:CY34"/>
    <mergeCell ref="CR35:CY35"/>
    <mergeCell ref="CR36:CY36"/>
    <mergeCell ref="CR41:CZ41"/>
    <mergeCell ref="CQ55:CQ58"/>
    <mergeCell ref="CR39:CY39"/>
    <mergeCell ref="CR38:CY38"/>
    <mergeCell ref="CS44:CV44"/>
    <mergeCell ref="CS45:CS47"/>
    <mergeCell ref="CT45:CV45"/>
    <mergeCell ref="CU46:CV46"/>
    <mergeCell ref="CT46:CT47"/>
    <mergeCell ref="CW46:CW47"/>
    <mergeCell ref="CX46:CY47"/>
    <mergeCell ref="CW44:CY45"/>
    <mergeCell ref="CR43:CY43"/>
    <mergeCell ref="CR44:CR47"/>
    <mergeCell ref="CX48:CY48"/>
    <mergeCell ref="CW55:CW58"/>
    <mergeCell ref="CX55:CX58"/>
    <mergeCell ref="CY55:CY58"/>
    <mergeCell ref="CN8:CN11"/>
    <mergeCell ref="CO8:CO11"/>
    <mergeCell ref="CP8:CP11"/>
    <mergeCell ref="CQ8:CQ11"/>
    <mergeCell ref="CI33:CP33"/>
    <mergeCell ref="CI34:CP34"/>
    <mergeCell ref="CI35:CP35"/>
    <mergeCell ref="CI36:CP36"/>
    <mergeCell ref="CI41:CQ41"/>
    <mergeCell ref="CH55:CH58"/>
    <mergeCell ref="CI39:CP39"/>
    <mergeCell ref="CI38:CP38"/>
    <mergeCell ref="CJ44:CM44"/>
    <mergeCell ref="CJ45:CJ47"/>
    <mergeCell ref="CK45:CM45"/>
    <mergeCell ref="CL46:CM46"/>
    <mergeCell ref="CK46:CK47"/>
    <mergeCell ref="CN46:CN47"/>
    <mergeCell ref="CO46:CP47"/>
    <mergeCell ref="CN44:CP45"/>
    <mergeCell ref="CI43:CP43"/>
    <mergeCell ref="CI44:CI47"/>
    <mergeCell ref="CO48:CP48"/>
    <mergeCell ref="CN55:CN58"/>
    <mergeCell ref="CO55:CO58"/>
    <mergeCell ref="CP55:CP58"/>
    <mergeCell ref="CE8:CE11"/>
    <mergeCell ref="CF8:CF11"/>
    <mergeCell ref="CG8:CG11"/>
    <mergeCell ref="CH8:CH11"/>
    <mergeCell ref="BZ33:CG33"/>
    <mergeCell ref="BZ34:CG34"/>
    <mergeCell ref="BZ35:CG35"/>
    <mergeCell ref="BZ36:CG36"/>
    <mergeCell ref="BZ41:CH41"/>
    <mergeCell ref="BY55:BY58"/>
    <mergeCell ref="BZ39:CG39"/>
    <mergeCell ref="BZ38:CG38"/>
    <mergeCell ref="CA44:CD44"/>
    <mergeCell ref="CA45:CA47"/>
    <mergeCell ref="CB45:CD45"/>
    <mergeCell ref="CC46:CD46"/>
    <mergeCell ref="CB46:CB47"/>
    <mergeCell ref="CE46:CE47"/>
    <mergeCell ref="CF46:CG47"/>
    <mergeCell ref="CE44:CG45"/>
    <mergeCell ref="BZ43:CG43"/>
    <mergeCell ref="BZ44:BZ47"/>
    <mergeCell ref="CF48:CG48"/>
    <mergeCell ref="CE55:CE58"/>
    <mergeCell ref="CF55:CF58"/>
    <mergeCell ref="CG55:CG58"/>
    <mergeCell ref="BV8:BV11"/>
    <mergeCell ref="BW8:BW11"/>
    <mergeCell ref="BX8:BX11"/>
    <mergeCell ref="BY8:BY11"/>
    <mergeCell ref="BQ33:BX33"/>
    <mergeCell ref="BQ34:BX34"/>
    <mergeCell ref="BQ35:BX35"/>
    <mergeCell ref="BQ36:BX36"/>
    <mergeCell ref="BQ41:BY41"/>
    <mergeCell ref="BP55:BP58"/>
    <mergeCell ref="BQ39:BX39"/>
    <mergeCell ref="BQ38:BX38"/>
    <mergeCell ref="BR44:BU44"/>
    <mergeCell ref="BR45:BR47"/>
    <mergeCell ref="BS45:BU45"/>
    <mergeCell ref="BT46:BU46"/>
    <mergeCell ref="BS46:BS47"/>
    <mergeCell ref="BV46:BV47"/>
    <mergeCell ref="BW46:BX47"/>
    <mergeCell ref="BV44:BX45"/>
    <mergeCell ref="BQ43:BX43"/>
    <mergeCell ref="BQ44:BQ47"/>
    <mergeCell ref="BW48:BX48"/>
    <mergeCell ref="BV55:BV58"/>
    <mergeCell ref="BW55:BW58"/>
    <mergeCell ref="BX55:BX58"/>
    <mergeCell ref="BM8:BM11"/>
    <mergeCell ref="BN8:BN11"/>
    <mergeCell ref="BO8:BO11"/>
    <mergeCell ref="BP8:BP11"/>
    <mergeCell ref="BH33:BO33"/>
    <mergeCell ref="BH34:BO34"/>
    <mergeCell ref="BH35:BO35"/>
    <mergeCell ref="BH36:BO36"/>
    <mergeCell ref="BH41:BP41"/>
    <mergeCell ref="BE55:BE58"/>
    <mergeCell ref="BF55:BF58"/>
    <mergeCell ref="BG55:BG58"/>
    <mergeCell ref="BH39:BO39"/>
    <mergeCell ref="BH38:BO38"/>
    <mergeCell ref="BI44:BL44"/>
    <mergeCell ref="BI45:BI47"/>
    <mergeCell ref="BJ45:BL45"/>
    <mergeCell ref="BK46:BL46"/>
    <mergeCell ref="BJ46:BJ47"/>
    <mergeCell ref="BM46:BM47"/>
    <mergeCell ref="BN46:BO47"/>
    <mergeCell ref="BM44:BO45"/>
    <mergeCell ref="BH43:BO43"/>
    <mergeCell ref="BH44:BH47"/>
    <mergeCell ref="BN48:BO48"/>
    <mergeCell ref="BM55:BM58"/>
    <mergeCell ref="BN55:BN58"/>
    <mergeCell ref="BO55:BO58"/>
    <mergeCell ref="BF8:BF11"/>
    <mergeCell ref="BG8:BG11"/>
    <mergeCell ref="AY33:BF33"/>
    <mergeCell ref="AY34:BF34"/>
    <mergeCell ref="AY35:BF35"/>
    <mergeCell ref="AY36:BF36"/>
    <mergeCell ref="AY41:BG41"/>
    <mergeCell ref="AY43:BF43"/>
    <mergeCell ref="BG43:BG47"/>
    <mergeCell ref="AY44:AY47"/>
    <mergeCell ref="AY39:BF39"/>
    <mergeCell ref="AY38:BF38"/>
    <mergeCell ref="AZ44:BC44"/>
    <mergeCell ref="AZ45:AZ47"/>
    <mergeCell ref="BA45:BC45"/>
    <mergeCell ref="BB46:BC46"/>
    <mergeCell ref="BA46:BA47"/>
    <mergeCell ref="BD46:BD47"/>
    <mergeCell ref="BE46:BF47"/>
    <mergeCell ref="BD44:BF45"/>
    <mergeCell ref="AP33:AW33"/>
    <mergeCell ref="AP34:AW34"/>
    <mergeCell ref="AP35:AW35"/>
    <mergeCell ref="AP36:AW36"/>
    <mergeCell ref="AP41:AX41"/>
    <mergeCell ref="AP43:AW43"/>
    <mergeCell ref="AX43:AX47"/>
    <mergeCell ref="AP44:AP47"/>
    <mergeCell ref="AV48:AW48"/>
    <mergeCell ref="AP39:AW39"/>
    <mergeCell ref="AP38:AW38"/>
    <mergeCell ref="AQ44:AT44"/>
    <mergeCell ref="AQ45:AQ47"/>
    <mergeCell ref="AR45:AT45"/>
    <mergeCell ref="AS46:AT46"/>
    <mergeCell ref="AR46:AR47"/>
    <mergeCell ref="AU46:AU47"/>
    <mergeCell ref="AV46:AW47"/>
    <mergeCell ref="AU44:AW45"/>
    <mergeCell ref="AN19:AN22"/>
    <mergeCell ref="AO19:AO22"/>
    <mergeCell ref="E2:E17"/>
    <mergeCell ref="X2:AF2"/>
    <mergeCell ref="AG2:DS2"/>
    <mergeCell ref="F3:F16"/>
    <mergeCell ref="X3:AF3"/>
    <mergeCell ref="AG3:DS3"/>
    <mergeCell ref="G4:G15"/>
    <mergeCell ref="X4:AF4"/>
    <mergeCell ref="AG4:DS4"/>
    <mergeCell ref="H5:H14"/>
    <mergeCell ref="X5:AF5"/>
    <mergeCell ref="AG5:DS5"/>
    <mergeCell ref="I6:I13"/>
    <mergeCell ref="Q6:Q13"/>
    <mergeCell ref="X6:AF6"/>
    <mergeCell ref="AG6:DS6"/>
    <mergeCell ref="AU8:AU11"/>
    <mergeCell ref="AV8:AV11"/>
    <mergeCell ref="AW8:AW11"/>
    <mergeCell ref="AX8:AX11"/>
    <mergeCell ref="BD8:BD11"/>
    <mergeCell ref="BE8:BE11"/>
    <mergeCell ref="DT9:DT12"/>
    <mergeCell ref="J7:J12"/>
    <mergeCell ref="R7:R12"/>
    <mergeCell ref="X7:AF7"/>
    <mergeCell ref="AG7:DS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DS54"/>
    <mergeCell ref="K55:K58"/>
    <mergeCell ref="AD48:AE48"/>
    <mergeCell ref="AM48:AN48"/>
    <mergeCell ref="X41:AF41"/>
    <mergeCell ref="AG41:AO41"/>
    <mergeCell ref="U42:DS42"/>
    <mergeCell ref="U43:U47"/>
    <mergeCell ref="V43:V47"/>
    <mergeCell ref="X43:AE43"/>
    <mergeCell ref="AF43:AF47"/>
    <mergeCell ref="AG43:AN43"/>
    <mergeCell ref="AO43:AO47"/>
    <mergeCell ref="AC55:AC58"/>
    <mergeCell ref="AE55:AE58"/>
    <mergeCell ref="AD55:AD58"/>
    <mergeCell ref="E49:E76"/>
    <mergeCell ref="X49:AF49"/>
    <mergeCell ref="AG49:DS49"/>
    <mergeCell ref="F50:F75"/>
    <mergeCell ref="X50:AF50"/>
    <mergeCell ref="AG50:DS50"/>
    <mergeCell ref="G51:G74"/>
    <mergeCell ref="X51:AF51"/>
    <mergeCell ref="AG51:DS51"/>
    <mergeCell ref="H52:H73"/>
    <mergeCell ref="X52:AF52"/>
    <mergeCell ref="AG52:DS52"/>
    <mergeCell ref="I53:I72"/>
    <mergeCell ref="Q53:Q72"/>
    <mergeCell ref="L56:L57"/>
    <mergeCell ref="AF55:AF58"/>
    <mergeCell ref="AU55:AU58"/>
    <mergeCell ref="AV55:AV58"/>
    <mergeCell ref="AW55:AW58"/>
    <mergeCell ref="AX55:AX58"/>
    <mergeCell ref="BD55:BD58"/>
    <mergeCell ref="AH44:AK44"/>
    <mergeCell ref="AL44:AN45"/>
    <mergeCell ref="AH45:AH47"/>
    <mergeCell ref="X53:AF53"/>
    <mergeCell ref="AG53:DS53"/>
    <mergeCell ref="AI45:AK45"/>
    <mergeCell ref="AI46:AI47"/>
    <mergeCell ref="AJ46:AK46"/>
    <mergeCell ref="AL46:AL47"/>
    <mergeCell ref="AM46:AN47"/>
    <mergeCell ref="DS43:DS47"/>
    <mergeCell ref="X44:X47"/>
    <mergeCell ref="AG44:AG47"/>
    <mergeCell ref="BE48:BF48"/>
    <mergeCell ref="BP43:BP47"/>
    <mergeCell ref="BY43:BY47"/>
    <mergeCell ref="CH43:CH47"/>
    <mergeCell ref="CQ43:CQ47"/>
    <mergeCell ref="CZ43:CZ47"/>
    <mergeCell ref="DI43:DI47"/>
    <mergeCell ref="DR43:DR47"/>
    <mergeCell ref="V83:DT83"/>
    <mergeCell ref="U39:V39"/>
    <mergeCell ref="X39:AE39"/>
    <mergeCell ref="AG39:AN39"/>
    <mergeCell ref="U38:V38"/>
    <mergeCell ref="X38:AE38"/>
    <mergeCell ref="AG38:AN38"/>
    <mergeCell ref="AL55:AL58"/>
    <mergeCell ref="AM55:AM58"/>
    <mergeCell ref="AN55:AN58"/>
    <mergeCell ref="AO55:AO58"/>
    <mergeCell ref="V82:DT82"/>
    <mergeCell ref="DT42:DT47"/>
    <mergeCell ref="DT56:DT59"/>
    <mergeCell ref="V79:DT79"/>
    <mergeCell ref="V80:DT80"/>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604 AD131140 AD196676 AD262212 AD327748 AD393284 AD458820 AD524356 AD589892 AD655428 AD720964 AD786500 AD852036 AD917572 AD983108 AF131140 AF458820 AF196676 AF262212 AF327748 AF393284 AF524356 AF589892 AF655428 AF720964 AF786500 AF852036 AF917572 AF983108 AF65604 AM65604 AM131140 AM196676 AM262212 AM327748 AM393284 AM458820 AM524356 AM589892 AM655428 AM720964 AM786500 AM852036 AM917572 AM983108 AO393284:DR393284 AO327748:DR327748 AO524356:DR524356 AO55 AV55 AX55 BE55 BG55 BN55 BP55 BW55 BY55 CF55 CH55 CO55 CQ55 CX55 CZ55 DG55 DI55 DP55 DR55 AO589892:DR589892 AO655428:DR655428 AO19:AO21 AO720964:DR720964 AO786500:DR786500 AO852036:DR852036 AO917572:DR917572 AO983108:DR983108 AO65604:DR65604 AO131140:DR131140 AO458820:DR458820 AF55 AO196676:DR196676 AF8 AD8 AM55 AM19:AM21 AO262212:DR262212 AD55 AO8 AV8 AX8 BE8 BG8 BN8 BP8 BW8 BY8 CF8 CH8 CO8 CQ8 CX8 CZ8 DG8 DI8 DP8 DR8 AM8 AD61 AF61 AM61 AO61 AV61 AX61 BE61 BG61 BN61 BP61 BW61 BY61 CF61 CH61 CO61 CQ61 CX61 CZ61 DG61 DI61 DP61 DR61 AD67 AF67 AM67 AO67 AV67 AX67 BE67 BG67 BN67 BP67 BW67 BY67 CF67 CH67 CO67 CQ67 CX67 CZ67 DG67 DI67 DP67 DR67"/>
    <dataValidation allowBlank="1" promptTitle="checkPeriodRange" sqref="AB65605 AB131141 AB196677 AB262213 AB327749 AB393285 AB458821 AB524357 AB589893 AB655429 AB720965 AB786501 AB852037 AB917573 AB983109 AB10:AB11 AK65605 AK131141 AK196677 AK262213 AK327749 AK393285 AK458821 AK524357 AK589893 AK655429 AK720965 AK786501 AK852037 AK917573 AK983109 AK10:AK11 AK57 AK22 AB57 AT10 AT11 AT57 BC10 BC11 BC57 BL10 BL11 BL57 BU10 BU11 BU57 CD10 CD11 CD57 CM10 CM11 CM57 CV10 CV11 CV57 DE10 DE11 DE57 DN10 DN11 DN57 AB63 AK63 AT63 BC63 BL63 BU63 CD63 CM63 CV63 DE63 DN63 AB64 AK64 AT64 BC64 BL64 BU64 CD64 CM64 CV64 DE64 DN64 AB69 AK69 AT69 BC69 BL69 BU69 CD69 CM69 CV69 DE69 DN69 AB70 AK70 AT70 BC70 BL70 BU70 CD70 CM70 CV70 DE70 DN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04 AC131140 AC196676 AC262212 AC327748 AC393284 AC458820 AC524356 AC589892 AC655428 AC720964 AC786500 AC852036 AC917572 AC983108 AE65604 AE131140 AE196676 AE262212 AE327748 AE393284 AE458820 AE524356 AE589892 AE655428 AE720964 AE786500 AE852036 AE917572 AE983108 AN55 AL65604 AL131140 AL196676 AL262212 AL327748 AL393284 AL458820 AL524356 AL589892 AL655428 AL720964 AL786500 AL852036 AL917572 AL983108 AN65604 AN131140 AN196676 AN262212 AN327748 AN393284 AN458820 AN524356 AN589892 AN655428 AN720964 AN786500 AN852036 AN917572 AN983108 AC55 AE55 AL55 AE8 AC8 AL19:AL21 AN19:AN21 AN8 AL8 AU8 AW8 AU55 AW55 BD8 BF8 BD55 BF55 BM8 BO8 BM55 BO55 BV8 BX8 BV55 BX55 CE8 CG8 CE55 CG55 CN8 CP8 CN55 CP55 CW8 CY8 CW55 CY55 DF8 DH8 DF55 DH55 DO8 DQ8 DO55 DQ55 AC61 AE61 AL61 AN61 AU61 AW61 BD61 BF61 BM61 BO61 BV61 BX61 CE61 CG61 CN61 CP61 CW61 CY61 DF61 DH61 DO61 DQ61 AC67 AE67 AL67 AN67 AU67 AW67 BD67 BF67 BM67 BO67 BV67 BX67 CE67 CG67 CN67 CP67 CW67 CY67 DF67 DH67 DO67 DQ67"/>
    <dataValidation type="textLength" operator="lessThanOrEqual" allowBlank="1" showInputMessage="1" showErrorMessage="1" errorTitle="Ошибка" error="Допускается ввод не более 900 символов!" sqref="DT65598:DT65605 DT131134:DT131141 DT196670:DT196677 DT262206:DT262213 DT327742:DT327749 DT393278:DT393285 DT458814:DT458821 DT524350:DT524357 DT589886:DT589893 DT655422:DT655429 DT720958:DT720965 DT786494:DT786501 DT852030:DT852037 DT917566:DT917573 DT983102:DT983109">
      <formula1>900</formula1>
    </dataValidation>
    <dataValidation allowBlank="1" sqref="U131142:DT131148 U196678:DT196684 U262214:DT262220 U327750:DT327756 U393286:DT393292 U458822:DT458828 U524358:DT524364 U589894:DT589900 U655430:DT655436 U720966:DT720972 U786502:DT786508 U852038:DT852044 U917574:DT917580 U983110:DT983116 U65606:DT65612"/>
    <dataValidation type="list" allowBlank="1" showInputMessage="1" errorTitle="Ошибка" error="Выберите значение из списка" prompt="Выберите значение из списка" sqref="X983107:DS983107 X65603:DS65603 X131139:DS131139 X196675:DS196675 X262211:DS262211 X327747:DS327747 X393283:DS393283 X458819:DS458819 X524355:DS524355 X589891:DS589891 X655427:DS655427 X720963:DS720963 X786499:DS786499 X852035:DS852035 X917571:DS917571">
      <formula1>kind_of_cons</formula1>
    </dataValidation>
    <dataValidation type="list" allowBlank="1" showInputMessage="1" showErrorMessage="1" errorTitle="Ошибка" error="Выберите значение из списка" sqref="X983106:Z983106 X65602:Z65602 X131138:Z131138 X196674:Z196674 X262210:Z262210 X327746:Z327746 X393282:Z393282 X458818:Z458818 X524354:Z524354 X589890:Z589890 X655426:Z655426 X720962:Z720962 X786498:Z786498 X852034:Z852034 X917570:Z917570 AG983106:AI983106 AG65602:AI65602 AG131138:AI131138 AG196674:AI196674 AG262210:AI262210 AG327746:AI327746 AG393282:AI393282 AG458818:AI458818 AG524354:AI524354 AG589890:AI589890 AG655426:AI655426 AG720962:AI720962 AG786498:AI786498 AG852034:AI852034 AG917570:AI917570">
      <formula1>kind_of_scheme_in</formula1>
    </dataValidation>
    <dataValidation type="list" allowBlank="1" showInputMessage="1" showErrorMessage="1" errorTitle="Ошибка" error="Выберите значение из списка" sqref="V65604 V131140 V196676 V262212 V327748 V393284 V458820 V524356 V589892 V655428 V720964 V786500 V852036 V917572 V983108">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65" sqref="I65"/>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1"/>
      <c r="I1" s="347"/>
      <c r="J1" s="801"/>
      <c r="Q1" s="179" t="s">
        <v>14</v>
      </c>
    </row>
    <row r="2" spans="1:17" s="1558" customFormat="1" ht="14.25" customHeight="1">
      <c r="A2" s="713"/>
      <c r="B2" s="38"/>
      <c r="E2" s="1665" t="str">
        <f>code</f>
        <v>Код отчёта: PP110.OPEN.INFO.PRICE.HEAT.EIAS</v>
      </c>
      <c r="F2" s="206"/>
      <c r="G2" s="182"/>
      <c r="H2" s="182"/>
      <c r="I2" s="182"/>
      <c r="J2" s="802"/>
      <c r="K2" s="182"/>
      <c r="Q2" s="11">
        <v>14</v>
      </c>
    </row>
    <row r="3" spans="1:17" ht="14.65" customHeight="1">
      <c r="E3" s="183" t="str">
        <f>version</f>
        <v>Версия отчёта: 1.1.1</v>
      </c>
      <c r="F3" s="206"/>
      <c r="G3" s="701"/>
      <c r="H3" s="701"/>
      <c r="I3" s="701"/>
      <c r="J3" s="803"/>
      <c r="K3" s="28"/>
      <c r="Q3" s="14">
        <v>14</v>
      </c>
    </row>
    <row r="4" spans="1:17" s="1538" customFormat="1" ht="6.4" customHeight="1">
      <c r="A4" s="714"/>
      <c r="B4" s="169"/>
      <c r="C4" s="170"/>
      <c r="D4" s="171"/>
      <c r="E4" s="180"/>
      <c r="F4" s="181"/>
      <c r="G4" s="702"/>
      <c r="H4" s="345"/>
      <c r="I4" s="347"/>
      <c r="J4" s="804"/>
      <c r="Q4" s="173">
        <v>6</v>
      </c>
    </row>
    <row r="5" spans="1:17" ht="39.75" customHeight="1">
      <c r="D5" s="15"/>
      <c r="E5" s="5216" t="str">
        <f>NameTemplatesInTitle</f>
        <v>Показатели, подлежащие раскрытию в сфере теплоснабжения (цены и тарифы)</v>
      </c>
      <c r="F5" s="5217"/>
      <c r="G5" s="703"/>
      <c r="J5" s="805"/>
      <c r="Q5" s="14">
        <v>38</v>
      </c>
    </row>
    <row r="6" spans="1:17" s="1538" customFormat="1" ht="6.4" customHeight="1">
      <c r="A6" s="714"/>
      <c r="B6" s="169"/>
      <c r="C6" s="170"/>
      <c r="D6" s="171"/>
      <c r="E6" s="174"/>
      <c r="F6" s="175"/>
      <c r="G6" s="703"/>
      <c r="H6" s="345"/>
      <c r="I6" s="347"/>
      <c r="J6" s="804"/>
      <c r="Q6" s="173">
        <v>6</v>
      </c>
    </row>
    <row r="7" spans="1:17" ht="21" customHeight="1">
      <c r="D7" s="15"/>
      <c r="E7" s="327" t="s">
        <v>15</v>
      </c>
      <c r="F7" s="153" t="s">
        <v>16</v>
      </c>
      <c r="G7" s="703"/>
      <c r="Q7" s="14">
        <v>20</v>
      </c>
    </row>
    <row r="8" spans="1:17" s="1538" customFormat="1" ht="6.4" customHeight="1">
      <c r="A8" s="715"/>
      <c r="B8" s="169"/>
      <c r="C8" s="170"/>
      <c r="D8" s="176"/>
      <c r="E8" s="174"/>
      <c r="F8" s="177"/>
      <c r="G8" s="17"/>
      <c r="H8" s="345"/>
      <c r="I8" s="347"/>
      <c r="J8" s="807"/>
      <c r="Q8" s="173">
        <v>6</v>
      </c>
    </row>
    <row r="9" spans="1:17" s="1561" customFormat="1" ht="19.5" hidden="1" customHeight="1">
      <c r="A9" s="714"/>
      <c r="B9" s="38"/>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7"/>
      <c r="H10" s="345"/>
      <c r="I10" s="347"/>
      <c r="J10" s="807"/>
      <c r="Q10" s="366">
        <v>24</v>
      </c>
    </row>
    <row r="11" spans="1:17" ht="22.5" customHeight="1">
      <c r="A11" s="5219" t="s">
        <v>20</v>
      </c>
      <c r="D11" s="15"/>
      <c r="E11" s="1091" t="s">
        <v>21</v>
      </c>
      <c r="F11" s="1657">
        <v>45292.416863425926</v>
      </c>
      <c r="G11" s="17"/>
      <c r="H11" s="704" t="s">
        <v>22</v>
      </c>
      <c r="J11" s="806" t="s">
        <v>23</v>
      </c>
      <c r="Q11" s="14">
        <v>0</v>
      </c>
    </row>
    <row r="12" spans="1:17" ht="22.5" customHeight="1">
      <c r="A12" s="5219"/>
      <c r="D12" s="15"/>
      <c r="E12" s="1091" t="s">
        <v>24</v>
      </c>
      <c r="F12" s="1657">
        <v>47118.417048611111</v>
      </c>
      <c r="G12" s="13"/>
      <c r="J12" s="806" t="s">
        <v>25</v>
      </c>
      <c r="Q12" s="14">
        <v>0</v>
      </c>
    </row>
    <row r="13" spans="1:17" s="1561" customFormat="1" ht="22.5" hidden="1" customHeight="1">
      <c r="A13" s="718" t="s">
        <v>26</v>
      </c>
      <c r="B13" s="38"/>
      <c r="C13" s="344"/>
      <c r="D13" s="346"/>
      <c r="E13" s="1700" t="s">
        <v>27</v>
      </c>
      <c r="F13" s="1657" t="s">
        <v>28</v>
      </c>
      <c r="G13" s="17"/>
      <c r="H13" s="701"/>
      <c r="I13" s="347"/>
      <c r="J13" s="1701" t="s">
        <v>29</v>
      </c>
      <c r="Q13" s="345">
        <v>0</v>
      </c>
    </row>
    <row r="14" spans="1:17" s="1561" customFormat="1" ht="27" hidden="1" customHeight="1">
      <c r="A14" s="718" t="s">
        <v>30</v>
      </c>
      <c r="B14" s="38"/>
      <c r="C14" s="344"/>
      <c r="D14" s="346"/>
      <c r="E14" s="1091" t="s">
        <v>31</v>
      </c>
      <c r="F14" s="1692"/>
      <c r="G14" s="17"/>
      <c r="H14" s="701"/>
      <c r="I14" s="347"/>
      <c r="J14" s="806" t="s">
        <v>32</v>
      </c>
      <c r="Q14" s="345">
        <v>0</v>
      </c>
    </row>
    <row r="15" spans="1:17" s="1561" customFormat="1" ht="19.5" hidden="1" customHeight="1">
      <c r="A15" s="718" t="s">
        <v>33</v>
      </c>
      <c r="B15" s="38"/>
      <c r="C15" s="344"/>
      <c r="D15" s="346"/>
      <c r="E15" s="1091" t="s">
        <v>34</v>
      </c>
      <c r="F15" s="1692"/>
      <c r="G15" s="17"/>
      <c r="H15" s="701"/>
      <c r="I15" s="347"/>
      <c r="J15" s="806" t="s">
        <v>35</v>
      </c>
      <c r="Q15" s="345">
        <v>0</v>
      </c>
    </row>
    <row r="16" spans="1:17" s="1538" customFormat="1" ht="6.4" customHeight="1">
      <c r="A16" s="715"/>
      <c r="B16" s="169"/>
      <c r="C16" s="170"/>
      <c r="D16" s="176"/>
      <c r="E16" s="174"/>
      <c r="F16" s="177"/>
      <c r="G16" s="17"/>
      <c r="H16" s="345"/>
      <c r="I16" s="347"/>
      <c r="J16" s="804"/>
      <c r="Q16" s="173">
        <v>6</v>
      </c>
    </row>
    <row r="17" spans="1:17" ht="21" customHeight="1">
      <c r="D17" s="15"/>
      <c r="E17" s="327" t="s">
        <v>36</v>
      </c>
      <c r="F17" s="2021" t="s">
        <v>37</v>
      </c>
      <c r="G17" s="13"/>
      <c r="H17" s="704" t="s">
        <v>22</v>
      </c>
      <c r="Q17" s="14">
        <v>20</v>
      </c>
    </row>
    <row r="18" spans="1:17" ht="25.5" customHeight="1">
      <c r="D18" s="15"/>
      <c r="E18" s="1700" t="s">
        <v>38</v>
      </c>
      <c r="F18" s="2036">
        <v>45485.417326388888</v>
      </c>
      <c r="G18" s="13"/>
      <c r="I18" s="705"/>
      <c r="J18" s="5218" t="s">
        <v>39</v>
      </c>
      <c r="Q18" s="14">
        <v>0</v>
      </c>
    </row>
    <row r="19" spans="1:17" ht="25.5" customHeight="1">
      <c r="D19" s="15"/>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36">
        <v>45474.417430555557</v>
      </c>
      <c r="G19" s="13"/>
      <c r="I19" s="705"/>
      <c r="J19" s="5218"/>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0"/>
      <c r="J20" s="805" t="s">
        <v>40</v>
      </c>
      <c r="Q20" s="14">
        <v>0</v>
      </c>
    </row>
    <row r="21" spans="1:17" ht="19.5" customHeight="1">
      <c r="D21" s="15"/>
      <c r="E21" s="327" t="str">
        <f>"Дата "&amp;IF(TEMPLATE_GROUP="P","документа","подачи заявления")&amp;" об утверждении тарифов"</f>
        <v>Дата документа об утверждении тарифов</v>
      </c>
      <c r="F21" s="1657">
        <v>45280.417546296296</v>
      </c>
      <c r="G21" s="13"/>
      <c r="I21" s="706"/>
      <c r="Q21" s="14">
        <v>0</v>
      </c>
    </row>
    <row r="22" spans="1:17" ht="19.5" customHeight="1">
      <c r="D22" s="15"/>
      <c r="E22" s="327" t="str">
        <f>"Номер "&amp;IF(TEMPLATE_GROUP="P","документа","подачи заявления")&amp;" об утверждении тарифов"</f>
        <v>Номер документа об утверждении тарифов</v>
      </c>
      <c r="F22" s="154" t="s">
        <v>41</v>
      </c>
      <c r="G22" s="13"/>
      <c r="I22" s="706"/>
      <c r="Q22" s="14">
        <v>0</v>
      </c>
    </row>
    <row r="23" spans="1:17" ht="22.5" customHeight="1">
      <c r="D23" s="15"/>
      <c r="E23" s="327" t="s">
        <v>42</v>
      </c>
      <c r="F23" s="154" t="s">
        <v>43</v>
      </c>
      <c r="G23" s="13"/>
      <c r="Q23" s="14">
        <v>0</v>
      </c>
    </row>
    <row r="24" spans="1:17" ht="19.5" customHeight="1">
      <c r="D24" s="15"/>
      <c r="E24" s="327" t="s">
        <v>44</v>
      </c>
      <c r="F24" s="2037" t="s">
        <v>45</v>
      </c>
      <c r="G24" s="13"/>
      <c r="Q24" s="14">
        <v>0</v>
      </c>
    </row>
    <row r="25" spans="1:17" ht="22.5" customHeight="1">
      <c r="D25" s="15"/>
      <c r="E25" s="16"/>
      <c r="F25" s="207" t="str">
        <f>"Изменение "&amp;IF(TEMPLATE_GROUP="P","тарифов","предложения по тарифам")</f>
        <v>Изменение тарифов</v>
      </c>
      <c r="G25" s="13"/>
      <c r="J25" s="805" t="s">
        <v>46</v>
      </c>
      <c r="Q25" s="14">
        <v>0</v>
      </c>
    </row>
    <row r="26" spans="1:17" ht="19.5" customHeight="1">
      <c r="D26" s="15"/>
      <c r="E26" s="327" t="str">
        <f>"Дата "&amp;IF(TEMPLATE_GROUP="P","принятия решения","подачи заявления")&amp;" об изменении тарифов"</f>
        <v>Дата принятия решения об изменении тарифов</v>
      </c>
      <c r="F26" s="2036">
        <v>45470</v>
      </c>
      <c r="G26" s="13"/>
      <c r="Q26" s="14">
        <v>0</v>
      </c>
    </row>
    <row r="27" spans="1:17" ht="19.5" customHeight="1">
      <c r="D27" s="15"/>
      <c r="E27" s="1091" t="str">
        <f>"Номер "&amp;IF(TEMPLATE_GROUP="P","принятия решения","заявления")&amp;" об изменении тарифов"</f>
        <v>Номер принятия решения об изменении тарифов</v>
      </c>
      <c r="F27" s="2038" t="s">
        <v>47</v>
      </c>
      <c r="G27" s="13"/>
      <c r="Q27" s="14">
        <v>0</v>
      </c>
    </row>
    <row r="28" spans="1:17" ht="24.75" customHeight="1">
      <c r="D28" s="15"/>
      <c r="E28" s="327" t="s">
        <v>48</v>
      </c>
      <c r="F28" s="2038" t="s">
        <v>43</v>
      </c>
      <c r="G28" s="13"/>
      <c r="Q28" s="14">
        <v>0</v>
      </c>
    </row>
    <row r="29" spans="1:17" ht="19.5" customHeight="1">
      <c r="D29" s="15"/>
      <c r="E29" s="327" t="s">
        <v>44</v>
      </c>
      <c r="F29" s="2037" t="s">
        <v>49</v>
      </c>
      <c r="G29" s="13"/>
      <c r="Q29" s="14">
        <v>0</v>
      </c>
    </row>
    <row r="30" spans="1:17" s="1538" customFormat="1" ht="6.4" customHeight="1">
      <c r="A30" s="715"/>
      <c r="B30" s="169"/>
      <c r="C30" s="170"/>
      <c r="D30" s="176"/>
      <c r="E30" s="174"/>
      <c r="F30" s="177"/>
      <c r="G30" s="17"/>
      <c r="H30" s="345"/>
      <c r="I30" s="347"/>
      <c r="J30" s="804"/>
      <c r="Q30" s="173">
        <v>6</v>
      </c>
    </row>
    <row r="31" spans="1:17" ht="21" customHeight="1">
      <c r="C31" s="18"/>
      <c r="D31" s="19"/>
      <c r="E31" s="327" t="str">
        <f>"Наименование "&amp;IF(TEMPLATE_GROUP="ROIV","органа тарифного регулирования","ЮЛ / ИП")</f>
        <v>Наименование ЮЛ / ИП</v>
      </c>
      <c r="F31" s="155" t="s">
        <v>50</v>
      </c>
      <c r="G31" s="707"/>
      <c r="Q31" s="14">
        <v>20</v>
      </c>
    </row>
    <row r="32" spans="1:17" ht="21" hidden="1" customHeight="1">
      <c r="C32" s="18"/>
      <c r="D32" s="19"/>
      <c r="E32" s="328" t="s">
        <v>51</v>
      </c>
      <c r="F32" s="155"/>
      <c r="G32" s="707"/>
      <c r="Q32" s="14">
        <v>20</v>
      </c>
    </row>
    <row r="33" spans="1:17" ht="21" customHeight="1">
      <c r="C33" s="18"/>
      <c r="D33" s="19"/>
      <c r="E33" s="327" t="s">
        <v>52</v>
      </c>
      <c r="F33" s="155" t="s">
        <v>53</v>
      </c>
      <c r="G33" s="707"/>
      <c r="Q33" s="14">
        <v>20</v>
      </c>
    </row>
    <row r="34" spans="1:17" ht="21" customHeight="1">
      <c r="C34" s="18"/>
      <c r="D34" s="19"/>
      <c r="E34" s="327" t="s">
        <v>54</v>
      </c>
      <c r="F34" s="155" t="s">
        <v>55</v>
      </c>
      <c r="G34" s="707"/>
      <c r="H34" s="20"/>
      <c r="Q34" s="14">
        <v>20</v>
      </c>
    </row>
    <row r="35" spans="1:17" s="1538" customFormat="1" ht="11.45" customHeight="1">
      <c r="A35" s="715"/>
      <c r="B35" s="169"/>
      <c r="C35" s="170"/>
      <c r="D35" s="176"/>
      <c r="E35" s="174"/>
      <c r="F35" s="177"/>
      <c r="G35" s="17"/>
      <c r="H35" s="345"/>
      <c r="I35" s="347"/>
      <c r="J35" s="804"/>
      <c r="Q35" s="173">
        <v>11</v>
      </c>
    </row>
    <row r="36" spans="1:17" ht="19.5" customHeight="1">
      <c r="A36" s="809"/>
      <c r="D36" s="19"/>
      <c r="E36" s="327" t="s">
        <v>56</v>
      </c>
      <c r="F36" s="1136" t="s">
        <v>57</v>
      </c>
      <c r="G36" s="17"/>
      <c r="Q36" s="14">
        <v>0</v>
      </c>
    </row>
    <row r="37" spans="1:17" ht="21" customHeight="1">
      <c r="A37" s="809"/>
      <c r="D37" s="19"/>
      <c r="E37" s="327" t="s">
        <v>58</v>
      </c>
      <c r="F37" s="1136" t="s">
        <v>59</v>
      </c>
      <c r="G37" s="17"/>
      <c r="Q37" s="14">
        <v>20</v>
      </c>
    </row>
    <row r="38" spans="1:17" s="1538" customFormat="1" ht="6.4" customHeight="1">
      <c r="A38" s="715"/>
      <c r="B38" s="169"/>
      <c r="C38" s="170"/>
      <c r="D38" s="171"/>
      <c r="E38" s="172"/>
      <c r="F38" s="982"/>
      <c r="G38" s="13"/>
      <c r="H38" s="345"/>
      <c r="I38" s="347"/>
      <c r="J38" s="806"/>
      <c r="Q38" s="173">
        <v>6</v>
      </c>
    </row>
    <row r="39" spans="1:17" ht="36.75" customHeight="1">
      <c r="A39" s="715"/>
      <c r="D39" s="15"/>
      <c r="E39" s="327" t="s">
        <v>60</v>
      </c>
      <c r="F39" s="646" t="s">
        <v>19</v>
      </c>
      <c r="G39" s="13"/>
      <c r="H39" s="704" t="s">
        <v>22</v>
      </c>
      <c r="Q39" s="14">
        <v>35</v>
      </c>
    </row>
    <row r="40" spans="1:17" s="1538" customFormat="1" ht="6" hidden="1" customHeight="1">
      <c r="A40" s="714"/>
      <c r="B40" s="362"/>
      <c r="C40" s="363"/>
      <c r="D40" s="364"/>
      <c r="E40" s="365"/>
      <c r="F40" s="982"/>
      <c r="G40" s="13"/>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6"/>
      <c r="Q41" s="345">
        <v>0</v>
      </c>
    </row>
    <row r="42" spans="1:17" s="1538" customFormat="1" ht="6" customHeight="1">
      <c r="A42" s="714"/>
      <c r="B42" s="362"/>
      <c r="C42" s="363"/>
      <c r="D42" s="364"/>
      <c r="E42" s="365"/>
      <c r="F42" s="982"/>
      <c r="G42" s="13"/>
      <c r="H42" s="345"/>
      <c r="I42" s="347"/>
      <c r="J42" s="804"/>
      <c r="Q42" s="366">
        <v>0</v>
      </c>
    </row>
    <row r="43" spans="1:17" s="1561" customFormat="1" ht="27" customHeight="1">
      <c r="A43" s="714"/>
      <c r="B43" s="349"/>
      <c r="C43" s="344"/>
      <c r="D43" s="346"/>
      <c r="E43" s="327" t="s">
        <v>61</v>
      </c>
      <c r="F43" s="646" t="s">
        <v>19</v>
      </c>
      <c r="G43" s="13"/>
      <c r="I43" s="347"/>
      <c r="J43" s="806"/>
      <c r="Q43" s="345">
        <v>0</v>
      </c>
    </row>
    <row r="44" spans="1:17" s="1561" customFormat="1" ht="27" hidden="1" customHeight="1">
      <c r="A44" s="714"/>
      <c r="B44" s="349"/>
      <c r="C44" s="344"/>
      <c r="D44" s="346"/>
      <c r="E44" s="1091" t="s">
        <v>62</v>
      </c>
      <c r="F44" s="1812"/>
      <c r="G44" s="13"/>
      <c r="I44" s="347"/>
      <c r="J44" s="806"/>
      <c r="Q44" s="345">
        <v>0</v>
      </c>
    </row>
    <row r="45" spans="1:17" s="1538" customFormat="1" ht="6" customHeight="1">
      <c r="A45" s="714"/>
      <c r="B45" s="362"/>
      <c r="C45" s="363"/>
      <c r="D45" s="364"/>
      <c r="E45" s="365"/>
      <c r="F45" s="982"/>
      <c r="G45" s="13"/>
      <c r="H45" s="345"/>
      <c r="I45" s="347"/>
      <c r="J45" s="806"/>
      <c r="Q45" s="366">
        <v>0</v>
      </c>
    </row>
    <row r="46" spans="1:17" s="1538" customFormat="1" ht="24.75" customHeight="1">
      <c r="A46" s="714"/>
      <c r="B46" s="362"/>
      <c r="C46" s="363"/>
      <c r="D46" s="364"/>
      <c r="E46" s="1091" t="s">
        <v>63</v>
      </c>
      <c r="F46" s="646" t="s">
        <v>19</v>
      </c>
      <c r="G46" s="13"/>
      <c r="H46" s="345"/>
      <c r="I46" s="347"/>
      <c r="J46" s="806"/>
      <c r="Q46" s="366">
        <v>0</v>
      </c>
    </row>
    <row r="47" spans="1:17" s="1561" customFormat="1" ht="24.75" customHeight="1">
      <c r="A47" s="714"/>
      <c r="B47" s="349"/>
      <c r="C47" s="344"/>
      <c r="D47" s="346"/>
      <c r="E47" s="1091" t="s">
        <v>64</v>
      </c>
      <c r="F47" s="646" t="s">
        <v>19</v>
      </c>
      <c r="G47" s="13"/>
      <c r="I47" s="347"/>
      <c r="J47" s="806"/>
      <c r="Q47" s="345">
        <v>0</v>
      </c>
    </row>
    <row r="48" spans="1:17" s="1538" customFormat="1" ht="6" customHeight="1">
      <c r="A48" s="714"/>
      <c r="B48" s="169"/>
      <c r="C48" s="170"/>
      <c r="D48" s="171"/>
      <c r="E48" s="172"/>
      <c r="F48" s="982"/>
      <c r="G48" s="13"/>
      <c r="H48" s="345"/>
      <c r="I48" s="347"/>
      <c r="J48" s="806"/>
      <c r="Q48" s="173">
        <v>0</v>
      </c>
    </row>
    <row r="49" spans="1:17" ht="29.25"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65</v>
      </c>
      <c r="G49" s="13"/>
      <c r="Q49" s="14">
        <v>0</v>
      </c>
    </row>
    <row r="50" spans="1:17" s="1538" customFormat="1" ht="6" hidden="1" customHeight="1">
      <c r="A50" s="715"/>
      <c r="B50" s="362"/>
      <c r="C50" s="363"/>
      <c r="D50" s="176"/>
      <c r="E50" s="174"/>
      <c r="F50" s="177"/>
      <c r="G50" s="17"/>
      <c r="H50" s="345"/>
      <c r="I50" s="347"/>
      <c r="J50" s="806"/>
      <c r="Q50" s="366">
        <v>0</v>
      </c>
    </row>
    <row r="51" spans="1:17" s="1561" customFormat="1" ht="28.5" hidden="1" customHeight="1">
      <c r="A51" s="716"/>
      <c r="B51" s="349"/>
      <c r="C51" s="466"/>
      <c r="D51" s="467"/>
      <c r="E51" s="327" t="s">
        <v>66</v>
      </c>
      <c r="F51" s="646" t="s">
        <v>19</v>
      </c>
      <c r="G51" s="468"/>
      <c r="I51" s="470"/>
      <c r="J51" s="808"/>
      <c r="P51" s="471"/>
      <c r="Q51" s="469">
        <v>0</v>
      </c>
    </row>
    <row r="52" spans="1:17" s="1538" customFormat="1" ht="6" hidden="1" customHeight="1">
      <c r="A52" s="715"/>
      <c r="B52" s="362"/>
      <c r="C52" s="363"/>
      <c r="D52" s="176"/>
      <c r="E52" s="174"/>
      <c r="F52" s="177"/>
      <c r="G52" s="17"/>
      <c r="H52" s="345"/>
      <c r="I52" s="347"/>
      <c r="J52" s="804"/>
      <c r="Q52" s="366">
        <v>0</v>
      </c>
    </row>
    <row r="53" spans="1:17" s="1561" customFormat="1" ht="27" hidden="1" customHeight="1">
      <c r="A53" s="716"/>
      <c r="B53" s="349"/>
      <c r="C53" s="466"/>
      <c r="D53" s="467"/>
      <c r="E53" s="327" t="s">
        <v>67</v>
      </c>
      <c r="F53" s="977" t="s">
        <v>19</v>
      </c>
      <c r="G53" s="468"/>
      <c r="I53" s="470"/>
      <c r="J53" s="808"/>
      <c r="P53" s="471"/>
      <c r="Q53" s="469">
        <v>0</v>
      </c>
    </row>
    <row r="54" spans="1:17" s="1561" customFormat="1" ht="27" hidden="1" customHeight="1">
      <c r="A54" s="716"/>
      <c r="B54" s="349"/>
      <c r="C54" s="466"/>
      <c r="D54" s="467"/>
      <c r="E54" s="327" t="s">
        <v>68</v>
      </c>
      <c r="F54" s="1699"/>
      <c r="G54" s="468"/>
      <c r="I54" s="470"/>
      <c r="J54" s="808"/>
      <c r="P54" s="471"/>
      <c r="Q54" s="469">
        <v>0</v>
      </c>
    </row>
    <row r="55" spans="1:17" s="1538" customFormat="1" ht="6" hidden="1" customHeight="1">
      <c r="A55" s="715"/>
      <c r="B55" s="362"/>
      <c r="C55" s="363"/>
      <c r="D55" s="176"/>
      <c r="E55" s="174"/>
      <c r="F55" s="177"/>
      <c r="G55" s="17"/>
      <c r="H55" s="345"/>
      <c r="I55" s="347"/>
      <c r="J55" s="804"/>
      <c r="Q55" s="366">
        <v>0</v>
      </c>
    </row>
    <row r="56" spans="1:17" s="1561" customFormat="1" ht="25.5" hidden="1" customHeight="1">
      <c r="A56" s="716"/>
      <c r="B56" s="349"/>
      <c r="C56" s="466"/>
      <c r="D56" s="467"/>
      <c r="E56" s="327" t="s">
        <v>69</v>
      </c>
      <c r="F56" s="977" t="s">
        <v>19</v>
      </c>
      <c r="G56" s="468"/>
      <c r="I56" s="470"/>
      <c r="J56" s="808"/>
      <c r="P56" s="471"/>
      <c r="Q56" s="469">
        <v>0</v>
      </c>
    </row>
    <row r="57" spans="1:17" s="1538" customFormat="1" ht="6" hidden="1" customHeight="1">
      <c r="A57" s="715"/>
      <c r="B57" s="362"/>
      <c r="C57" s="363"/>
      <c r="D57" s="176"/>
      <c r="E57" s="174"/>
      <c r="F57" s="177"/>
      <c r="G57" s="17"/>
      <c r="H57" s="345"/>
      <c r="I57" s="347"/>
      <c r="J57" s="804"/>
      <c r="Q57" s="366">
        <v>0</v>
      </c>
    </row>
    <row r="58" spans="1:17" s="1561" customFormat="1" ht="15" hidden="1" customHeight="1">
      <c r="A58" s="716"/>
      <c r="B58" s="349"/>
      <c r="C58" s="466"/>
      <c r="D58" s="467"/>
      <c r="E58" s="327" t="s">
        <v>70</v>
      </c>
      <c r="F58" s="977" t="s">
        <v>65</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71</v>
      </c>
      <c r="F60" s="1077"/>
      <c r="G60" s="468"/>
      <c r="I60" s="470"/>
      <c r="J60" s="808"/>
      <c r="P60" s="471"/>
      <c r="Q60" s="469">
        <v>0</v>
      </c>
    </row>
    <row r="61" spans="1:17" s="1538" customFormat="1" ht="6" hidden="1" customHeight="1">
      <c r="A61" s="715"/>
      <c r="B61" s="362"/>
      <c r="C61" s="363"/>
      <c r="D61" s="364"/>
      <c r="E61" s="365"/>
      <c r="F61" s="982"/>
      <c r="G61" s="13"/>
      <c r="H61" s="345"/>
      <c r="I61" s="347"/>
      <c r="J61" s="806"/>
      <c r="Q61" s="366">
        <v>0</v>
      </c>
    </row>
    <row r="62" spans="1:17" s="1561" customFormat="1" ht="33.75" hidden="1" customHeight="1">
      <c r="A62" s="715"/>
      <c r="B62" s="38"/>
      <c r="C62" s="344"/>
      <c r="D62" s="346"/>
      <c r="E62" s="1091" t="s">
        <v>72</v>
      </c>
      <c r="F62" s="1597" t="s">
        <v>65</v>
      </c>
      <c r="G62" s="13"/>
      <c r="H62" s="704" t="s">
        <v>22</v>
      </c>
      <c r="I62" s="347"/>
      <c r="J62" s="806"/>
      <c r="Q62" s="345">
        <v>0</v>
      </c>
    </row>
    <row r="63" spans="1:17" s="1538" customFormat="1" ht="6.4" customHeight="1">
      <c r="A63" s="715"/>
      <c r="B63" s="169"/>
      <c r="C63" s="170"/>
      <c r="D63" s="176"/>
      <c r="E63" s="174"/>
      <c r="F63" s="177"/>
      <c r="G63" s="17"/>
      <c r="H63" s="345"/>
      <c r="I63" s="347"/>
      <c r="J63" s="804"/>
      <c r="Q63" s="173">
        <v>6</v>
      </c>
    </row>
    <row r="64" spans="1:17" ht="22.5">
      <c r="B64" s="39"/>
      <c r="D64" s="22"/>
      <c r="E64" s="327" t="s">
        <v>73</v>
      </c>
      <c r="F64" s="154" t="s">
        <v>74</v>
      </c>
      <c r="G64" s="17"/>
      <c r="Q64" s="14">
        <v>20</v>
      </c>
    </row>
    <row r="65" spans="1:17" ht="21" customHeight="1">
      <c r="B65" s="39"/>
      <c r="D65" s="22"/>
      <c r="E65" s="327" t="s">
        <v>75</v>
      </c>
      <c r="F65" s="154"/>
      <c r="G65" s="17"/>
      <c r="Q65" s="14">
        <v>20</v>
      </c>
    </row>
    <row r="66" spans="1:17" ht="36.75" customHeight="1">
      <c r="D66" s="15"/>
      <c r="E66" s="329" t="s">
        <v>76</v>
      </c>
      <c r="F66" s="983"/>
      <c r="G66" s="13"/>
      <c r="Q66" s="14">
        <v>35</v>
      </c>
    </row>
    <row r="67" spans="1:17" ht="21" customHeight="1">
      <c r="D67" s="346"/>
      <c r="E67" s="327" t="s">
        <v>77</v>
      </c>
      <c r="F67" s="208"/>
      <c r="G67" s="17"/>
      <c r="Q67" s="14">
        <v>20</v>
      </c>
    </row>
    <row r="68" spans="1:17" ht="21" customHeight="1">
      <c r="B68" s="39"/>
      <c r="D68" s="22"/>
      <c r="E68" s="327" t="s">
        <v>78</v>
      </c>
      <c r="F68" s="208" t="s">
        <v>79</v>
      </c>
      <c r="G68" s="17"/>
      <c r="Q68" s="14">
        <v>20</v>
      </c>
    </row>
    <row r="69" spans="1:17" ht="21" customHeight="1">
      <c r="B69" s="39"/>
      <c r="D69" s="22"/>
      <c r="E69" s="327" t="s">
        <v>80</v>
      </c>
      <c r="F69" s="208" t="s">
        <v>81</v>
      </c>
      <c r="G69" s="17"/>
      <c r="Q69" s="14">
        <v>20</v>
      </c>
    </row>
    <row r="70" spans="1:17" ht="21" customHeight="1">
      <c r="D70" s="346"/>
      <c r="E70" s="327" t="s">
        <v>82</v>
      </c>
      <c r="F70" s="2037" t="s">
        <v>83</v>
      </c>
      <c r="G70" s="13"/>
      <c r="Q70" s="14">
        <v>20</v>
      </c>
    </row>
    <row r="71" spans="1:17" ht="21" customHeight="1">
      <c r="D71" s="13"/>
      <c r="F71" s="72"/>
      <c r="G71" s="17"/>
      <c r="Q71" s="14">
        <v>20</v>
      </c>
    </row>
    <row r="72" spans="1:17" ht="21" customHeight="1">
      <c r="B72" s="39"/>
      <c r="D72" s="22"/>
      <c r="E72" s="21"/>
      <c r="F72" s="962"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84</v>
      </c>
      <c r="B79" s="38">
        <v>0</v>
      </c>
      <c r="C79" s="12">
        <v>3</v>
      </c>
      <c r="D79" s="14">
        <v>1</v>
      </c>
      <c r="E79" s="14">
        <v>55</v>
      </c>
      <c r="F79" s="14">
        <v>54</v>
      </c>
      <c r="G79" s="702">
        <v>1</v>
      </c>
      <c r="H79" s="345">
        <v>0</v>
      </c>
      <c r="I79" s="347">
        <v>59</v>
      </c>
      <c r="J79" s="806">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F29" r:id="rId2"/>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3"/>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1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5381">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5374"/>
      <c r="W2" s="5374"/>
      <c r="X2" s="5374"/>
      <c r="Y2" s="5374"/>
      <c r="Z2" s="5374"/>
      <c r="AA2" s="5375"/>
      <c r="AB2" s="5373" t="e">
        <f>INDEX(PT_DIFFERENTIATION_NTAR,MATCH(A2,PT_DIFFERENTIATION_NTAR_ID,0))</f>
        <v>#N/A</v>
      </c>
      <c r="AC2" s="5374"/>
      <c r="AD2" s="5374"/>
      <c r="AE2" s="5374"/>
      <c r="AF2" s="5374"/>
      <c r="AG2" s="5374"/>
      <c r="AH2" s="5374"/>
      <c r="AI2" s="5374"/>
      <c r="AJ2" s="5374"/>
      <c r="AK2" s="5374"/>
      <c r="AL2" s="5374"/>
      <c r="AM2" s="5374"/>
      <c r="AN2" s="5374"/>
      <c r="AO2" s="5374"/>
      <c r="AP2" s="5374"/>
      <c r="AQ2" s="5374"/>
      <c r="AR2" s="5374"/>
      <c r="AS2" s="5374"/>
      <c r="AT2" s="5375"/>
      <c r="AU2" s="1184" t="s">
        <v>423</v>
      </c>
      <c r="AW2" s="436"/>
      <c r="AX2" s="436" t="str">
        <f t="shared" ref="AX2:AX8" si="0">IF(T2="","",T2)</f>
        <v>Наименование тарифа</v>
      </c>
      <c r="AY2" s="436"/>
      <c r="AZ2" s="436"/>
      <c r="BA2" s="1081">
        <v>0</v>
      </c>
    </row>
    <row r="3" spans="1:53" ht="21" hidden="1" customHeight="1">
      <c r="A3" s="1289"/>
      <c r="B3" s="1289"/>
      <c r="C3" s="1289"/>
      <c r="D3" s="1289"/>
      <c r="E3" s="5382"/>
      <c r="F3" s="5381">
        <v>1</v>
      </c>
      <c r="G3" s="1289"/>
      <c r="H3" s="1289"/>
      <c r="I3" s="1289"/>
      <c r="J3" s="1289"/>
      <c r="K3" s="1289"/>
      <c r="L3" s="1290"/>
      <c r="M3" s="1291"/>
      <c r="N3" s="1291"/>
      <c r="O3" s="1291"/>
      <c r="P3" s="1336"/>
      <c r="Q3" s="1337"/>
      <c r="R3" s="289"/>
      <c r="S3" s="1262" t="e">
        <f>INDEX(PT_DIFFERENTIATION_NUM_TER,MATCH(B3,PT_DIFFERENTIATION_TER_ID,0))</f>
        <v>#N/A</v>
      </c>
      <c r="T3" s="245" t="s">
        <v>424</v>
      </c>
      <c r="U3" s="237"/>
      <c r="V3" s="5374"/>
      <c r="W3" s="5374"/>
      <c r="X3" s="5374"/>
      <c r="Y3" s="5374"/>
      <c r="Z3" s="5374"/>
      <c r="AA3" s="5375"/>
      <c r="AB3" s="5373" t="e">
        <f>INDEX(PT_DIFFERENTIATION_TER,MATCH(B3,PT_DIFFERENTIATION_TER_ID,0))</f>
        <v>#N/A</v>
      </c>
      <c r="AC3" s="5374"/>
      <c r="AD3" s="5374"/>
      <c r="AE3" s="5374"/>
      <c r="AF3" s="5374"/>
      <c r="AG3" s="5374"/>
      <c r="AH3" s="5374"/>
      <c r="AI3" s="5374"/>
      <c r="AJ3" s="5374"/>
      <c r="AK3" s="5374"/>
      <c r="AL3" s="5374"/>
      <c r="AM3" s="5374"/>
      <c r="AN3" s="5374"/>
      <c r="AO3" s="5374"/>
      <c r="AP3" s="5374"/>
      <c r="AQ3" s="5374"/>
      <c r="AR3" s="5374"/>
      <c r="AS3" s="5374"/>
      <c r="AT3" s="5375"/>
      <c r="AU3" s="1184" t="s">
        <v>425</v>
      </c>
      <c r="AW3" s="436"/>
      <c r="AX3" s="436" t="str">
        <f t="shared" si="0"/>
        <v>Территория действия тарифа</v>
      </c>
      <c r="AY3" s="436"/>
      <c r="AZ3" s="436"/>
      <c r="BA3" s="1081">
        <v>0</v>
      </c>
    </row>
    <row r="4" spans="1:53" ht="22.5" hidden="1" customHeight="1">
      <c r="A4" s="1289"/>
      <c r="B4" s="1289"/>
      <c r="C4" s="1289"/>
      <c r="D4" s="1289"/>
      <c r="E4" s="5382"/>
      <c r="F4" s="5382"/>
      <c r="G4" s="5381">
        <v>1</v>
      </c>
      <c r="H4" s="1289"/>
      <c r="I4" s="1289"/>
      <c r="J4" s="1289"/>
      <c r="K4" s="1289"/>
      <c r="L4" s="1290"/>
      <c r="M4" s="1291"/>
      <c r="N4" s="1291"/>
      <c r="O4" s="1291"/>
      <c r="P4" s="1338"/>
      <c r="Q4" s="1337"/>
      <c r="R4" s="289"/>
      <c r="S4" s="1262" t="e">
        <f>INDEX(PT_DIFFERENTIATION_NUM_CS,MATCH(C4,PT_DIFFERENTIATION_CS_ID,0))</f>
        <v>#N/A</v>
      </c>
      <c r="T4" s="246" t="s">
        <v>426</v>
      </c>
      <c r="U4" s="237"/>
      <c r="V4" s="5374"/>
      <c r="W4" s="5374"/>
      <c r="X4" s="5374"/>
      <c r="Y4" s="5374"/>
      <c r="Z4" s="5374"/>
      <c r="AA4" s="5375"/>
      <c r="AB4" s="5373" t="e">
        <f>INDEX(PT_DIFFERENTIATION_CS,MATCH(C4,PT_DIFFERENTIATION_CS_ID,0))</f>
        <v>#N/A</v>
      </c>
      <c r="AC4" s="5374"/>
      <c r="AD4" s="5374"/>
      <c r="AE4" s="5374"/>
      <c r="AF4" s="5374"/>
      <c r="AG4" s="5374"/>
      <c r="AH4" s="5374"/>
      <c r="AI4" s="5374"/>
      <c r="AJ4" s="5374"/>
      <c r="AK4" s="5374"/>
      <c r="AL4" s="5374"/>
      <c r="AM4" s="5374"/>
      <c r="AN4" s="5374"/>
      <c r="AO4" s="5374"/>
      <c r="AP4" s="5374"/>
      <c r="AQ4" s="5374"/>
      <c r="AR4" s="5374"/>
      <c r="AS4" s="5374"/>
      <c r="AT4" s="5375"/>
      <c r="AU4" s="1184" t="s">
        <v>427</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5382"/>
      <c r="F5" s="5382"/>
      <c r="G5" s="5382"/>
      <c r="H5" s="5381">
        <v>1</v>
      </c>
      <c r="I5" s="1289"/>
      <c r="J5" s="1289"/>
      <c r="K5" s="1289"/>
      <c r="L5" s="1290"/>
      <c r="M5" s="1291"/>
      <c r="N5" s="1291"/>
      <c r="O5" s="1291"/>
      <c r="P5" s="1338"/>
      <c r="Q5" s="1337"/>
      <c r="R5" s="289"/>
      <c r="S5" s="1262" t="e">
        <f>INDEX(PT_DIFFERENTIATION_NUM_IST_TE,MATCH(D5,PT_DIFFERENTIATION_IST_TE_ID,0))</f>
        <v>#N/A</v>
      </c>
      <c r="T5" s="247" t="s">
        <v>428</v>
      </c>
      <c r="U5" s="237"/>
      <c r="V5" s="5374"/>
      <c r="W5" s="5374"/>
      <c r="X5" s="5374"/>
      <c r="Y5" s="5374"/>
      <c r="Z5" s="5374"/>
      <c r="AA5" s="5375"/>
      <c r="AB5" s="5373" t="e">
        <f>INDEX(PT_DIFFERENTIATION_IST_TE,MATCH(D5,PT_DIFFERENTIATION_IST_TE_ID,0))</f>
        <v>#N/A</v>
      </c>
      <c r="AC5" s="5374"/>
      <c r="AD5" s="5374"/>
      <c r="AE5" s="5374"/>
      <c r="AF5" s="5374"/>
      <c r="AG5" s="5374"/>
      <c r="AH5" s="5374"/>
      <c r="AI5" s="5374"/>
      <c r="AJ5" s="5374"/>
      <c r="AK5" s="5374"/>
      <c r="AL5" s="5374"/>
      <c r="AM5" s="5374"/>
      <c r="AN5" s="5374"/>
      <c r="AO5" s="5374"/>
      <c r="AP5" s="5374"/>
      <c r="AQ5" s="5374"/>
      <c r="AR5" s="5374"/>
      <c r="AS5" s="5374"/>
      <c r="AT5" s="5375"/>
      <c r="AU5" s="1184" t="s">
        <v>429</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5382"/>
      <c r="F6" s="5382"/>
      <c r="G6" s="5382"/>
      <c r="H6" s="5382"/>
      <c r="I6" s="5383" t="e">
        <f>S5&amp;".1"</f>
        <v>#N/A</v>
      </c>
      <c r="J6" s="1269"/>
      <c r="K6" s="1269"/>
      <c r="L6" s="1272" t="s">
        <v>430</v>
      </c>
      <c r="M6" s="446"/>
      <c r="N6" s="446"/>
      <c r="O6" s="446"/>
      <c r="P6" s="5385">
        <v>1</v>
      </c>
      <c r="Q6" s="1257"/>
      <c r="R6" s="292"/>
      <c r="S6" s="971"/>
      <c r="T6" s="1309"/>
      <c r="U6" s="1310"/>
      <c r="V6" s="5421"/>
      <c r="W6" s="5421"/>
      <c r="X6" s="5421"/>
      <c r="Y6" s="5421"/>
      <c r="Z6" s="5421"/>
      <c r="AA6" s="5422"/>
      <c r="AB6" s="5420"/>
      <c r="AC6" s="5421"/>
      <c r="AD6" s="5421"/>
      <c r="AE6" s="5421"/>
      <c r="AF6" s="5421"/>
      <c r="AG6" s="5421"/>
      <c r="AH6" s="5421"/>
      <c r="AI6" s="5421"/>
      <c r="AJ6" s="5421"/>
      <c r="AK6" s="5421"/>
      <c r="AL6" s="5421"/>
      <c r="AM6" s="5421"/>
      <c r="AN6" s="5421"/>
      <c r="AO6" s="5421"/>
      <c r="AP6" s="5421"/>
      <c r="AQ6" s="5421"/>
      <c r="AR6" s="5421"/>
      <c r="AS6" s="5421"/>
      <c r="AT6" s="5422"/>
      <c r="AU6" s="1311"/>
      <c r="AW6" s="436"/>
      <c r="AX6" s="436" t="str">
        <f t="shared" si="0"/>
        <v/>
      </c>
      <c r="AY6" s="436"/>
      <c r="AZ6" s="436"/>
      <c r="BA6" s="447">
        <v>0</v>
      </c>
    </row>
    <row r="7" spans="1:53" s="1568" customFormat="1" ht="0.75" hidden="1" customHeight="1">
      <c r="A7" s="1269"/>
      <c r="B7" s="1269"/>
      <c r="C7" s="1269"/>
      <c r="D7" s="1269"/>
      <c r="E7" s="5382"/>
      <c r="F7" s="5382"/>
      <c r="G7" s="5382"/>
      <c r="H7" s="5382"/>
      <c r="I7" s="5384"/>
      <c r="J7" s="5383" t="e">
        <f>S5&amp;".1"</f>
        <v>#N/A</v>
      </c>
      <c r="K7" s="1269"/>
      <c r="L7" s="1272"/>
      <c r="M7" s="446"/>
      <c r="N7" s="446"/>
      <c r="O7" s="446"/>
      <c r="P7" s="5385"/>
      <c r="Q7" s="5385">
        <v>1</v>
      </c>
      <c r="R7" s="293"/>
      <c r="S7" s="971"/>
      <c r="T7" s="1325"/>
      <c r="U7" s="1310"/>
      <c r="V7" s="5421"/>
      <c r="W7" s="5421"/>
      <c r="X7" s="5421"/>
      <c r="Y7" s="5421"/>
      <c r="Z7" s="5421"/>
      <c r="AA7" s="5422"/>
      <c r="AB7" s="5420"/>
      <c r="AC7" s="5421"/>
      <c r="AD7" s="5421"/>
      <c r="AE7" s="5421"/>
      <c r="AF7" s="5421"/>
      <c r="AG7" s="5421"/>
      <c r="AH7" s="5421"/>
      <c r="AI7" s="5421"/>
      <c r="AJ7" s="5421"/>
      <c r="AK7" s="5421"/>
      <c r="AL7" s="5421"/>
      <c r="AM7" s="5421"/>
      <c r="AN7" s="5421"/>
      <c r="AO7" s="5421"/>
      <c r="AP7" s="5421"/>
      <c r="AQ7" s="5421"/>
      <c r="AR7" s="5421"/>
      <c r="AS7" s="5421"/>
      <c r="AT7" s="5422"/>
      <c r="AU7" s="1311"/>
      <c r="AW7" s="436"/>
      <c r="AX7" s="436" t="str">
        <f t="shared" si="0"/>
        <v/>
      </c>
      <c r="AY7" s="436"/>
      <c r="AZ7" s="436"/>
      <c r="BA7" s="447">
        <v>0</v>
      </c>
    </row>
    <row r="8" spans="1:53" ht="21" hidden="1" customHeight="1">
      <c r="A8" s="1289"/>
      <c r="B8" s="1289"/>
      <c r="C8" s="1289"/>
      <c r="D8" s="1289"/>
      <c r="E8" s="5382"/>
      <c r="F8" s="5382"/>
      <c r="G8" s="5382"/>
      <c r="H8" s="5382"/>
      <c r="I8" s="5384"/>
      <c r="J8" s="5384"/>
      <c r="K8" s="5383" t="e">
        <f>S5&amp;".1"</f>
        <v>#N/A</v>
      </c>
      <c r="L8" s="1290"/>
      <c r="P8" s="5385"/>
      <c r="Q8" s="5385"/>
      <c r="R8" s="5451">
        <v>1</v>
      </c>
      <c r="S8" s="5448" t="e">
        <f>$K8</f>
        <v>#N/A</v>
      </c>
      <c r="T8" s="5445"/>
      <c r="U8" s="237"/>
      <c r="V8" s="687"/>
      <c r="W8" s="1183"/>
      <c r="X8" s="5386"/>
      <c r="Y8" s="5245" t="s">
        <v>65</v>
      </c>
      <c r="Z8" s="5386"/>
      <c r="AA8" s="5245" t="s">
        <v>65</v>
      </c>
      <c r="AB8" s="5245" t="s">
        <v>19</v>
      </c>
      <c r="AC8" s="5444"/>
      <c r="AD8" s="5335">
        <v>1</v>
      </c>
      <c r="AE8" s="5458"/>
      <c r="AF8" s="5245" t="s">
        <v>19</v>
      </c>
      <c r="AG8" s="5444"/>
      <c r="AH8" s="5335">
        <v>1</v>
      </c>
      <c r="AI8" s="5458"/>
      <c r="AJ8" s="5245" t="s">
        <v>19</v>
      </c>
      <c r="AK8" s="248"/>
      <c r="AL8" s="1263">
        <v>1</v>
      </c>
      <c r="AM8" s="1324"/>
      <c r="AN8" s="687"/>
      <c r="AO8" s="1183"/>
      <c r="AP8" s="1659"/>
      <c r="AQ8" s="1385" t="s">
        <v>65</v>
      </c>
      <c r="AR8" s="1659"/>
      <c r="AS8" s="1385" t="s">
        <v>65</v>
      </c>
      <c r="AT8" s="1274"/>
      <c r="AU8" s="5405" t="s">
        <v>496</v>
      </c>
      <c r="AV8" s="447" t="e">
        <f ca="1">STRCHECKDATE(V11:AT11)</f>
        <v>#NAME?</v>
      </c>
      <c r="AW8" s="436"/>
      <c r="AX8" s="436" t="str">
        <f t="shared" si="0"/>
        <v/>
      </c>
      <c r="AY8" s="436"/>
      <c r="AZ8" s="436"/>
      <c r="BA8" s="1081">
        <v>0</v>
      </c>
    </row>
    <row r="9" spans="1:53" ht="11.25" hidden="1" customHeight="1">
      <c r="A9" s="1289"/>
      <c r="B9" s="1289"/>
      <c r="C9" s="1289"/>
      <c r="D9" s="1289"/>
      <c r="E9" s="5382"/>
      <c r="F9" s="5382"/>
      <c r="G9" s="5382"/>
      <c r="H9" s="5382"/>
      <c r="I9" s="5384"/>
      <c r="J9" s="5384"/>
      <c r="K9" s="5383"/>
      <c r="L9" s="1290"/>
      <c r="P9" s="5385"/>
      <c r="Q9" s="5385"/>
      <c r="R9" s="5451"/>
      <c r="S9" s="5449"/>
      <c r="T9" s="5446"/>
      <c r="U9" s="237"/>
      <c r="V9" s="1319"/>
      <c r="W9" s="1323"/>
      <c r="X9" s="5386"/>
      <c r="Y9" s="5245"/>
      <c r="Z9" s="5386"/>
      <c r="AA9" s="5245"/>
      <c r="AB9" s="5245"/>
      <c r="AC9" s="5444"/>
      <c r="AD9" s="5335"/>
      <c r="AE9" s="5458"/>
      <c r="AF9" s="5245"/>
      <c r="AG9" s="5444"/>
      <c r="AH9" s="5335"/>
      <c r="AI9" s="5458"/>
      <c r="AJ9" s="5245"/>
      <c r="AK9" s="253"/>
      <c r="AL9" s="352"/>
      <c r="AM9" s="351" t="s">
        <v>497</v>
      </c>
      <c r="AN9" s="1319"/>
      <c r="AO9" s="1422"/>
      <c r="AP9" s="1319"/>
      <c r="AQ9" s="1319"/>
      <c r="AR9" s="1319"/>
      <c r="AS9" s="1319"/>
      <c r="AT9" s="1316"/>
      <c r="AU9" s="5406"/>
      <c r="AW9" s="436"/>
      <c r="AX9" s="436"/>
      <c r="AY9" s="436"/>
      <c r="AZ9" s="436"/>
      <c r="BA9" s="1081">
        <v>0</v>
      </c>
    </row>
    <row r="10" spans="1:53" ht="11.25" hidden="1" customHeight="1">
      <c r="A10" s="1289"/>
      <c r="B10" s="1289"/>
      <c r="C10" s="1289"/>
      <c r="D10" s="1289"/>
      <c r="E10" s="5382"/>
      <c r="F10" s="5382"/>
      <c r="G10" s="5382"/>
      <c r="H10" s="5382"/>
      <c r="I10" s="5384"/>
      <c r="J10" s="5384"/>
      <c r="K10" s="5383"/>
      <c r="L10" s="1290"/>
      <c r="P10" s="5385"/>
      <c r="Q10" s="5385"/>
      <c r="R10" s="5451"/>
      <c r="S10" s="5449"/>
      <c r="T10" s="5446"/>
      <c r="U10" s="237"/>
      <c r="V10" s="1319"/>
      <c r="W10" s="1323"/>
      <c r="X10" s="5386"/>
      <c r="Y10" s="5245"/>
      <c r="Z10" s="5386"/>
      <c r="AA10" s="5245"/>
      <c r="AB10" s="5245"/>
      <c r="AC10" s="5444"/>
      <c r="AD10" s="5335"/>
      <c r="AE10" s="5458"/>
      <c r="AF10" s="5245"/>
      <c r="AG10" s="231"/>
      <c r="AH10" s="351"/>
      <c r="AI10" s="351" t="s">
        <v>498</v>
      </c>
      <c r="AJ10" s="1319"/>
      <c r="AK10" s="1319"/>
      <c r="AL10" s="1319"/>
      <c r="AM10" s="1319"/>
      <c r="AN10" s="1319"/>
      <c r="AO10" s="1422"/>
      <c r="AP10" s="1319"/>
      <c r="AQ10" s="1319"/>
      <c r="AR10" s="1319"/>
      <c r="AS10" s="1319"/>
      <c r="AT10" s="1316"/>
      <c r="AU10" s="5406"/>
      <c r="AW10" s="436"/>
      <c r="AX10" s="436"/>
      <c r="AY10" s="436"/>
      <c r="AZ10" s="436"/>
      <c r="BA10" s="1081">
        <v>0</v>
      </c>
    </row>
    <row r="11" spans="1:53" ht="11.25" hidden="1" customHeight="1">
      <c r="A11" s="1289"/>
      <c r="B11" s="1289"/>
      <c r="C11" s="1289"/>
      <c r="D11" s="1289"/>
      <c r="E11" s="5382"/>
      <c r="F11" s="5382"/>
      <c r="G11" s="5382"/>
      <c r="H11" s="5382"/>
      <c r="I11" s="5384"/>
      <c r="J11" s="5384"/>
      <c r="K11" s="5383"/>
      <c r="L11" s="1290"/>
      <c r="P11" s="5385"/>
      <c r="Q11" s="5385"/>
      <c r="R11" s="5451"/>
      <c r="S11" s="5450"/>
      <c r="T11" s="5447"/>
      <c r="U11" s="237"/>
      <c r="V11" s="1319"/>
      <c r="W11" s="1322" t="str">
        <f>X8&amp;"-"&amp;Z8</f>
        <v>-</v>
      </c>
      <c r="X11" s="5387"/>
      <c r="Y11" s="5245"/>
      <c r="Z11" s="5387"/>
      <c r="AA11" s="5245"/>
      <c r="AB11" s="5245"/>
      <c r="AC11" s="249"/>
      <c r="AD11" s="251"/>
      <c r="AE11" s="351" t="s">
        <v>499</v>
      </c>
      <c r="AF11" s="1319"/>
      <c r="AG11" s="1319"/>
      <c r="AH11" s="1319"/>
      <c r="AI11" s="1319"/>
      <c r="AJ11" s="1319"/>
      <c r="AK11" s="1319"/>
      <c r="AL11" s="1319"/>
      <c r="AM11" s="1319"/>
      <c r="AN11" s="1319"/>
      <c r="AO11" s="1320" t="str">
        <f>AP8&amp;"-"&amp;AR8</f>
        <v>-</v>
      </c>
      <c r="AP11" s="1319"/>
      <c r="AQ11" s="1319"/>
      <c r="AR11" s="1319"/>
      <c r="AS11" s="1319"/>
      <c r="AT11" s="1275"/>
      <c r="AU11" s="5406"/>
      <c r="AW11" s="436"/>
      <c r="AX11" s="436" t="str">
        <f t="shared" ref="AX11:AX17" si="1">IF(T11="","",T11)</f>
        <v/>
      </c>
      <c r="AY11" s="436"/>
      <c r="AZ11" s="436"/>
      <c r="BA11" s="1081">
        <v>0</v>
      </c>
    </row>
    <row r="12" spans="1:53" ht="11.25" hidden="1" customHeight="1">
      <c r="A12" s="1289"/>
      <c r="B12" s="1289"/>
      <c r="C12" s="1289"/>
      <c r="D12" s="1289"/>
      <c r="E12" s="5382"/>
      <c r="F12" s="5382"/>
      <c r="G12" s="5382"/>
      <c r="H12" s="5382"/>
      <c r="I12" s="5384"/>
      <c r="J12" s="5383"/>
      <c r="K12" s="1289"/>
      <c r="L12" s="1290"/>
      <c r="P12" s="5385"/>
      <c r="Q12" s="5385"/>
      <c r="R12" s="292"/>
      <c r="S12" s="1204"/>
      <c r="T12" s="224" t="s">
        <v>500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5407"/>
      <c r="AW12" s="436"/>
      <c r="AX12" s="436" t="str">
        <f t="shared" si="1"/>
        <v>Добавить строку</v>
      </c>
      <c r="AY12" s="436"/>
      <c r="AZ12" s="436"/>
      <c r="BA12" s="1081">
        <v>0</v>
      </c>
    </row>
    <row r="13" spans="1:53" s="1568" customFormat="1" ht="0.75" hidden="1" customHeight="1">
      <c r="A13" s="1269"/>
      <c r="B13" s="1269"/>
      <c r="C13" s="1269"/>
      <c r="D13" s="1269"/>
      <c r="E13" s="5382"/>
      <c r="F13" s="5382"/>
      <c r="G13" s="5382"/>
      <c r="H13" s="5382"/>
      <c r="I13" s="5383"/>
      <c r="J13" s="1269"/>
      <c r="K13" s="1269"/>
      <c r="L13" s="1272"/>
      <c r="M13" s="446"/>
      <c r="N13" s="446"/>
      <c r="O13" s="446"/>
      <c r="P13" s="5385"/>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5382"/>
      <c r="F14" s="5382"/>
      <c r="G14" s="5382"/>
      <c r="H14" s="5381"/>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5382"/>
      <c r="F15" s="5382"/>
      <c r="G15" s="5381"/>
      <c r="H15" s="1240"/>
      <c r="I15" s="1240"/>
      <c r="J15" s="1240"/>
      <c r="K15" s="1240"/>
      <c r="L15" s="1265"/>
      <c r="M15" s="1241"/>
      <c r="N15" s="1241"/>
      <c r="P15" s="1242"/>
      <c r="Q15" s="1243"/>
      <c r="R15" s="1242"/>
      <c r="S15" s="1248"/>
      <c r="T15" s="1251" t="s">
        <v>163</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5382"/>
      <c r="F16" s="5381"/>
      <c r="G16" s="1240"/>
      <c r="H16" s="1240"/>
      <c r="I16" s="1240"/>
      <c r="J16" s="1240"/>
      <c r="K16" s="1240"/>
      <c r="L16" s="1265"/>
      <c r="M16" s="1247"/>
      <c r="N16" s="1247"/>
      <c r="P16" s="1242"/>
      <c r="Q16" s="1243"/>
      <c r="R16" s="1242"/>
      <c r="S16" s="1248"/>
      <c r="T16" s="1251" t="s">
        <v>164</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5381"/>
      <c r="F17" s="1269"/>
      <c r="G17" s="1269"/>
      <c r="H17" s="1269"/>
      <c r="I17" s="1269"/>
      <c r="J17" s="1269"/>
      <c r="K17" s="1269"/>
      <c r="L17" s="1272"/>
      <c r="M17" s="1247"/>
      <c r="N17" s="1247"/>
      <c r="O17" s="454"/>
      <c r="P17" s="316"/>
      <c r="Q17" s="1270"/>
      <c r="R17" s="316"/>
      <c r="S17" s="1248"/>
      <c r="T17" s="1251" t="s">
        <v>165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65</v>
      </c>
      <c r="AR19" s="1661"/>
      <c r="AS19" s="1386" t="s">
        <v>65</v>
      </c>
      <c r="BA19" s="1081">
        <v>0</v>
      </c>
    </row>
    <row r="20" spans="1:53" ht="14.25" hidden="1" customHeight="1">
      <c r="AV20" s="432"/>
      <c r="AW20" s="432"/>
      <c r="AX20" s="432"/>
      <c r="AY20" s="432"/>
      <c r="AZ20" s="432"/>
      <c r="BA20" s="1081">
        <v>0</v>
      </c>
    </row>
    <row r="21" spans="1:53" ht="14.25" hidden="1" customHeight="1">
      <c r="O21" s="1293" t="s">
        <v>441</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442</v>
      </c>
      <c r="P23" s="1434"/>
      <c r="Q23" s="1436"/>
      <c r="R23" s="1436"/>
      <c r="Y23" s="1433" t="s">
        <v>444</v>
      </c>
      <c r="AA23" s="1433" t="s">
        <v>445</v>
      </c>
      <c r="AB23" s="1433" t="s">
        <v>501</v>
      </c>
      <c r="AE23" s="1433" t="s">
        <v>502</v>
      </c>
      <c r="AF23" s="1433" t="s">
        <v>501</v>
      </c>
      <c r="AI23" s="1433" t="s">
        <v>503</v>
      </c>
      <c r="AJ23" s="1433" t="s">
        <v>501</v>
      </c>
      <c r="AM23" s="1433" t="s">
        <v>504</v>
      </c>
      <c r="AQ23" s="1433" t="s">
        <v>444</v>
      </c>
      <c r="AS23" s="1433" t="s">
        <v>445</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535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5359"/>
      <c r="U27" s="5359"/>
      <c r="V27" s="5359"/>
      <c r="W27" s="5359"/>
      <c r="X27" s="5359"/>
      <c r="Y27" s="5359"/>
      <c r="Z27" s="5359"/>
      <c r="AA27" s="5359"/>
      <c r="AB27" s="5359"/>
      <c r="AC27" s="5359"/>
      <c r="AD27" s="5359"/>
      <c r="AE27" s="5359"/>
      <c r="AF27" s="5359"/>
      <c r="AG27" s="5359"/>
      <c r="AH27" s="5359"/>
      <c r="AI27" s="5359"/>
      <c r="AJ27" s="5359"/>
      <c r="AK27" s="5359"/>
      <c r="AL27" s="5359"/>
      <c r="AM27" s="5359"/>
      <c r="AN27" s="5359"/>
      <c r="AO27" s="5359"/>
      <c r="AP27" s="5359"/>
      <c r="AQ27" s="5359"/>
      <c r="AR27" s="5359"/>
      <c r="AS27" s="1169"/>
      <c r="BA27" s="1081">
        <v>26</v>
      </c>
    </row>
    <row r="28" spans="1:53" ht="14.65" customHeight="1">
      <c r="Q28" s="228"/>
      <c r="R28" s="312"/>
      <c r="S28" s="5331" t="str">
        <f>IF(org=0,"Не определено",org)</f>
        <v>ПАО "ТГК-1" филиал "Невский"</v>
      </c>
      <c r="T28" s="5331"/>
      <c r="U28" s="5331"/>
      <c r="V28" s="5331"/>
      <c r="W28" s="5331"/>
      <c r="X28" s="5331"/>
      <c r="Y28" s="5331"/>
      <c r="Z28" s="5331"/>
      <c r="AA28" s="5331"/>
      <c r="AB28" s="5331"/>
      <c r="AC28" s="5331"/>
      <c r="AD28" s="5331"/>
      <c r="AE28" s="5331"/>
      <c r="AF28" s="5331"/>
      <c r="AG28" s="5331"/>
      <c r="AH28" s="5331"/>
      <c r="AI28" s="5331"/>
      <c r="AJ28" s="5331"/>
      <c r="AK28" s="5331"/>
      <c r="AL28" s="5331"/>
      <c r="AM28" s="5331"/>
      <c r="AN28" s="5331"/>
      <c r="AO28" s="5331"/>
      <c r="AP28" s="5331"/>
      <c r="AQ28" s="5331"/>
      <c r="AR28" s="5331"/>
      <c r="AS28" s="1169"/>
      <c r="BA28" s="1081">
        <v>14</v>
      </c>
    </row>
    <row r="29" spans="1:53" ht="14.25"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customHeight="1">
      <c r="A30" s="1294"/>
      <c r="B30" s="1294"/>
      <c r="C30" s="1294"/>
      <c r="D30" s="1294"/>
      <c r="E30" s="1294"/>
      <c r="F30" s="1294"/>
      <c r="G30" s="1294"/>
      <c r="H30" s="1294"/>
      <c r="I30" s="1294"/>
      <c r="J30" s="1294"/>
      <c r="K30" s="1294"/>
      <c r="L30" s="1295"/>
      <c r="M30" s="1294"/>
      <c r="N30" s="1294"/>
      <c r="O30" s="1294"/>
      <c r="P30" s="1294"/>
      <c r="Q30" s="1294"/>
      <c r="S30" s="5370" t="s">
        <v>42</v>
      </c>
      <c r="T30" s="5370"/>
      <c r="U30" s="1298"/>
      <c r="V30" s="5372" t="str">
        <f>IF(TITLE_NAME_OR_PR_CHANGE="",IF(TITLE_NAME_OR_PR="","",TITLE_NAME_OR_PR),TITLE_NAME_OR_PR_CHANGE)</f>
        <v>Комитет по тарифам Санкт-Петербурга</v>
      </c>
      <c r="W30" s="5372"/>
      <c r="X30" s="5372"/>
      <c r="Y30" s="5372"/>
      <c r="Z30" s="5372"/>
      <c r="AA30" s="263"/>
      <c r="AB30" s="5372" t="str">
        <f>IF(TITLE_NAME_OR_PR_CHANGE="",IF(TITLE_NAME_OR_PR="","",TITLE_NAME_OR_PR),TITLE_NAME_OR_PR_CHANGE)</f>
        <v>Комитет по тарифам Санкт-Петербурга</v>
      </c>
      <c r="AC30" s="5372"/>
      <c r="AD30" s="5372"/>
      <c r="AE30" s="5372"/>
      <c r="AF30" s="5372"/>
      <c r="AG30" s="5372"/>
      <c r="AH30" s="5372"/>
      <c r="AI30" s="5372"/>
      <c r="AJ30" s="5372"/>
      <c r="AK30" s="5372"/>
      <c r="AL30" s="5372"/>
      <c r="AM30" s="5372"/>
      <c r="AN30" s="5372"/>
      <c r="AO30" s="5372"/>
      <c r="AP30" s="5372"/>
      <c r="AQ30" s="5372"/>
      <c r="AR30" s="5372"/>
      <c r="AS30" s="263"/>
      <c r="AT30" s="263"/>
      <c r="AU30" s="217"/>
      <c r="AV30" s="304"/>
      <c r="AW30" s="304"/>
      <c r="AX30" s="304"/>
      <c r="AY30" s="304"/>
      <c r="AZ30" s="304"/>
      <c r="BA30" s="354">
        <v>0</v>
      </c>
    </row>
    <row r="31" spans="1:53" s="1777" customFormat="1" ht="18.75" customHeight="1">
      <c r="A31" s="1294"/>
      <c r="B31" s="1294"/>
      <c r="C31" s="1294"/>
      <c r="D31" s="1294"/>
      <c r="E31" s="1294"/>
      <c r="F31" s="1294"/>
      <c r="G31" s="1294"/>
      <c r="H31" s="1294"/>
      <c r="I31" s="1294"/>
      <c r="J31" s="1294"/>
      <c r="K31" s="1294"/>
      <c r="L31" s="1295"/>
      <c r="M31" s="1294"/>
      <c r="N31" s="1294"/>
      <c r="O31" s="1294"/>
      <c r="P31" s="1294"/>
      <c r="Q31" s="1294"/>
      <c r="S31" s="5370" t="s">
        <v>447</v>
      </c>
      <c r="T31" s="5370"/>
      <c r="U31" s="1298"/>
      <c r="V31" s="5371">
        <f>IF(TITLE_DATE_PR_CHANGE="",IF(TITLE_DATE_PR="","",TITLE_DATE_PR),TITLE_DATE_PR_CHANGE)</f>
        <v>45470</v>
      </c>
      <c r="W31" s="5371"/>
      <c r="X31" s="5371"/>
      <c r="Y31" s="5371"/>
      <c r="Z31" s="5371"/>
      <c r="AA31" s="263"/>
      <c r="AB31" s="5371">
        <f>IF(TITLE_DATE_PR_CHANGE="",IF(TITLE_DATE_PR="","",TITLE_DATE_PR),TITLE_DATE_PR_CHANGE)</f>
        <v>45470</v>
      </c>
      <c r="AC31" s="5371"/>
      <c r="AD31" s="5371"/>
      <c r="AE31" s="5371"/>
      <c r="AF31" s="5371"/>
      <c r="AG31" s="5371"/>
      <c r="AH31" s="5371"/>
      <c r="AI31" s="5371"/>
      <c r="AJ31" s="5371"/>
      <c r="AK31" s="5371"/>
      <c r="AL31" s="5371"/>
      <c r="AM31" s="5371"/>
      <c r="AN31" s="5371"/>
      <c r="AO31" s="5371"/>
      <c r="AP31" s="5371"/>
      <c r="AQ31" s="5371"/>
      <c r="AR31" s="5371"/>
      <c r="AS31" s="263"/>
      <c r="AT31" s="263"/>
      <c r="AU31" s="217"/>
      <c r="AV31" s="304"/>
      <c r="AW31" s="304"/>
      <c r="AX31" s="304"/>
      <c r="AY31" s="304"/>
      <c r="AZ31" s="304"/>
      <c r="BA31" s="354">
        <v>0</v>
      </c>
    </row>
    <row r="32" spans="1:53" s="1777" customFormat="1" ht="18.75" customHeight="1">
      <c r="A32" s="1294"/>
      <c r="B32" s="1294"/>
      <c r="C32" s="1294"/>
      <c r="D32" s="1294"/>
      <c r="E32" s="1294"/>
      <c r="F32" s="1294"/>
      <c r="G32" s="1294"/>
      <c r="H32" s="1294"/>
      <c r="I32" s="1294"/>
      <c r="J32" s="1294"/>
      <c r="K32" s="1294"/>
      <c r="L32" s="1295"/>
      <c r="M32" s="1294"/>
      <c r="N32" s="1294"/>
      <c r="O32" s="1294"/>
      <c r="P32" s="1294"/>
      <c r="Q32" s="1294"/>
      <c r="S32" s="5370" t="s">
        <v>448</v>
      </c>
      <c r="T32" s="5370"/>
      <c r="U32" s="1298"/>
      <c r="V32" s="5372" t="str">
        <f>IF(TITLE_NUMBER_PR_CHANGE="",IF(TITLE_NUMBER_PR="","",TITLE_NUMBER_PR),TITLE_NUMBER_PR_CHANGE)</f>
        <v>94-р</v>
      </c>
      <c r="W32" s="5372"/>
      <c r="X32" s="5372"/>
      <c r="Y32" s="5372"/>
      <c r="Z32" s="5372"/>
      <c r="AA32" s="263"/>
      <c r="AB32" s="5372" t="str">
        <f>IF(TITLE_NUMBER_PR_CHANGE="",IF(TITLE_NUMBER_PR="","",TITLE_NUMBER_PR),TITLE_NUMBER_PR_CHANGE)</f>
        <v>94-р</v>
      </c>
      <c r="AC32" s="5372"/>
      <c r="AD32" s="5372"/>
      <c r="AE32" s="5372"/>
      <c r="AF32" s="5372"/>
      <c r="AG32" s="5372"/>
      <c r="AH32" s="5372"/>
      <c r="AI32" s="5372"/>
      <c r="AJ32" s="5372"/>
      <c r="AK32" s="5372"/>
      <c r="AL32" s="5372"/>
      <c r="AM32" s="5372"/>
      <c r="AN32" s="5372"/>
      <c r="AO32" s="5372"/>
      <c r="AP32" s="5372"/>
      <c r="AQ32" s="5372"/>
      <c r="AR32" s="5372"/>
      <c r="AS32" s="263"/>
      <c r="AT32" s="263"/>
      <c r="AU32" s="217"/>
      <c r="AV32" s="304"/>
      <c r="AW32" s="304"/>
      <c r="AX32" s="304"/>
      <c r="AY32" s="304"/>
      <c r="AZ32" s="304"/>
      <c r="BA32" s="354">
        <v>0</v>
      </c>
    </row>
    <row r="33" spans="1:53" s="1777" customFormat="1" ht="18.75" customHeight="1">
      <c r="A33" s="1294"/>
      <c r="B33" s="1294"/>
      <c r="C33" s="1294"/>
      <c r="D33" s="1294"/>
      <c r="E33" s="1294"/>
      <c r="F33" s="1294"/>
      <c r="G33" s="1294"/>
      <c r="H33" s="1294"/>
      <c r="I33" s="1294"/>
      <c r="J33" s="1294"/>
      <c r="K33" s="1294"/>
      <c r="L33" s="1295"/>
      <c r="M33" s="1294"/>
      <c r="N33" s="1294"/>
      <c r="O33" s="1294"/>
      <c r="P33" s="1294"/>
      <c r="Q33" s="1294"/>
      <c r="S33" s="5370" t="s">
        <v>44</v>
      </c>
      <c r="T33" s="5370"/>
      <c r="U33" s="1298"/>
      <c r="V33" s="5372" t="str">
        <f>IF(TITLE_IST_PUB_CHANGE="",IF(TITLE_IST_PUB="","",TITLE_IST_PUB),TITLE_IST_PUB_CHANGE)</f>
        <v>http://publication.pravo.gov.ru/document/7801202407010029</v>
      </c>
      <c r="W33" s="5372"/>
      <c r="X33" s="5372"/>
      <c r="Y33" s="5372"/>
      <c r="Z33" s="5372"/>
      <c r="AA33" s="263"/>
      <c r="AB33" s="5372" t="str">
        <f>IF(TITLE_IST_PUB_CHANGE="",IF(TITLE_IST_PUB="","",TITLE_IST_PUB),TITLE_IST_PUB_CHANGE)</f>
        <v>http://publication.pravo.gov.ru/document/7801202407010029</v>
      </c>
      <c r="AC33" s="5372"/>
      <c r="AD33" s="5372"/>
      <c r="AE33" s="5372"/>
      <c r="AF33" s="5372"/>
      <c r="AG33" s="5372"/>
      <c r="AH33" s="5372"/>
      <c r="AI33" s="5372"/>
      <c r="AJ33" s="5372"/>
      <c r="AK33" s="5372"/>
      <c r="AL33" s="5372"/>
      <c r="AM33" s="5372"/>
      <c r="AN33" s="5372"/>
      <c r="AO33" s="5372"/>
      <c r="AP33" s="5372"/>
      <c r="AQ33" s="5372"/>
      <c r="AR33" s="5372"/>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5370" t="s">
        <v>447</v>
      </c>
      <c r="T35" s="5370"/>
      <c r="U35" s="1298"/>
      <c r="V35" s="5371">
        <f>IF(TITLE_DATE_PR_CHANGE="",IF(TITLE_DATE_PR="","",TITLE_DATE_PR),TITLE_DATE_PR_CHANGE)</f>
        <v>45470</v>
      </c>
      <c r="W35" s="5371"/>
      <c r="X35" s="5371"/>
      <c r="Y35" s="5371"/>
      <c r="Z35" s="5371"/>
      <c r="AA35" s="263"/>
      <c r="AB35" s="5371">
        <f>IF(TITLE_DATE_PR_CHANGE="",IF(TITLE_DATE_PR="","",TITLE_DATE_PR),TITLE_DATE_PR_CHANGE)</f>
        <v>45470</v>
      </c>
      <c r="AC35" s="5371"/>
      <c r="AD35" s="5371"/>
      <c r="AE35" s="5371"/>
      <c r="AF35" s="5371"/>
      <c r="AG35" s="5371"/>
      <c r="AH35" s="5371"/>
      <c r="AI35" s="5371"/>
      <c r="AJ35" s="5371"/>
      <c r="AK35" s="5371"/>
      <c r="AL35" s="5371"/>
      <c r="AM35" s="5371"/>
      <c r="AN35" s="5371"/>
      <c r="AO35" s="5371"/>
      <c r="AP35" s="5371"/>
      <c r="AQ35" s="5371"/>
      <c r="AR35" s="5371"/>
      <c r="AS35" s="263"/>
      <c r="AT35" s="263"/>
      <c r="AU35" s="217"/>
      <c r="AV35" s="304"/>
      <c r="AW35" s="304"/>
      <c r="AX35" s="304"/>
      <c r="AY35" s="304"/>
      <c r="AZ35" s="304"/>
      <c r="BA35" s="354">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5370" t="s">
        <v>448</v>
      </c>
      <c r="T36" s="5370"/>
      <c r="U36" s="1298"/>
      <c r="V36" s="5372" t="str">
        <f>IF(TITLE_NUMBER_PR_CHANGE="",IF(TITLE_NUMBER_PR="","",TITLE_NUMBER_PR),TITLE_NUMBER_PR_CHANGE)</f>
        <v>94-р</v>
      </c>
      <c r="W36" s="5372"/>
      <c r="X36" s="5372"/>
      <c r="Y36" s="5372"/>
      <c r="Z36" s="5372"/>
      <c r="AA36" s="263"/>
      <c r="AB36" s="5372" t="str">
        <f>IF(TITLE_NUMBER_PR_CHANGE="",IF(TITLE_NUMBER_PR="","",TITLE_NUMBER_PR),TITLE_NUMBER_PR_CHANGE)</f>
        <v>94-р</v>
      </c>
      <c r="AC36" s="5372"/>
      <c r="AD36" s="5372"/>
      <c r="AE36" s="5372"/>
      <c r="AF36" s="5372"/>
      <c r="AG36" s="5372"/>
      <c r="AH36" s="5372"/>
      <c r="AI36" s="5372"/>
      <c r="AJ36" s="5372"/>
      <c r="AK36" s="5372"/>
      <c r="AL36" s="5372"/>
      <c r="AM36" s="5372"/>
      <c r="AN36" s="5372"/>
      <c r="AO36" s="5372"/>
      <c r="AP36" s="5372"/>
      <c r="AQ36" s="5372"/>
      <c r="AR36" s="5372"/>
      <c r="AS36" s="263"/>
      <c r="AT36" s="263"/>
      <c r="AU36" s="217"/>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451</v>
      </c>
      <c r="AB37" s="263"/>
      <c r="AC37" s="263"/>
      <c r="AD37" s="263"/>
      <c r="AE37" s="263"/>
      <c r="AF37" s="263"/>
      <c r="AG37" s="263"/>
      <c r="AH37" s="263"/>
      <c r="AI37" s="263"/>
      <c r="AJ37" s="263"/>
      <c r="AK37" s="263"/>
      <c r="AL37" s="263"/>
      <c r="AM37" s="263"/>
      <c r="AN37" s="263"/>
      <c r="AO37" s="263"/>
      <c r="AP37" s="263"/>
      <c r="AQ37" s="263"/>
      <c r="AR37" s="263"/>
      <c r="AS37" s="215" t="s">
        <v>451</v>
      </c>
      <c r="AV37" s="304"/>
      <c r="AW37" s="304"/>
      <c r="AX37" s="304"/>
      <c r="AY37" s="304"/>
      <c r="AZ37" s="304"/>
      <c r="BA37" s="354">
        <v>1</v>
      </c>
    </row>
    <row r="38" spans="1:53" ht="14.65" customHeight="1">
      <c r="Q38" s="228"/>
      <c r="R38" s="312"/>
      <c r="S38" s="1201"/>
      <c r="T38" s="299"/>
      <c r="U38" s="1170"/>
      <c r="V38" s="5393"/>
      <c r="W38" s="5393"/>
      <c r="X38" s="5393"/>
      <c r="Y38" s="5393"/>
      <c r="Z38" s="5393"/>
      <c r="AA38" s="5393"/>
      <c r="AB38" s="5393"/>
      <c r="AC38" s="5393"/>
      <c r="AD38" s="5393"/>
      <c r="AE38" s="5393"/>
      <c r="AF38" s="5393"/>
      <c r="AG38" s="5393"/>
      <c r="AH38" s="5393"/>
      <c r="AI38" s="5393"/>
      <c r="AJ38" s="5393"/>
      <c r="AK38" s="5393"/>
      <c r="AL38" s="5393"/>
      <c r="AM38" s="5393"/>
      <c r="AN38" s="5393"/>
      <c r="AO38" s="5393"/>
      <c r="AP38" s="5393"/>
      <c r="AQ38" s="5393"/>
      <c r="AR38" s="5393"/>
      <c r="AS38" s="5393"/>
      <c r="BA38" s="1081">
        <v>14</v>
      </c>
    </row>
    <row r="39" spans="1:53" ht="14.65" customHeight="1">
      <c r="Q39" s="228"/>
      <c r="R39" s="312"/>
      <c r="S39" s="5235" t="s">
        <v>327</v>
      </c>
      <c r="T39" s="5235"/>
      <c r="U39" s="5235"/>
      <c r="V39" s="5235"/>
      <c r="W39" s="5235"/>
      <c r="X39" s="5235"/>
      <c r="Y39" s="5235"/>
      <c r="Z39" s="5235"/>
      <c r="AA39" s="5235"/>
      <c r="AB39" s="5311"/>
      <c r="AC39" s="5311"/>
      <c r="AD39" s="5311"/>
      <c r="AE39" s="5311"/>
      <c r="AF39" s="5235"/>
      <c r="AG39" s="5235"/>
      <c r="AH39" s="5235"/>
      <c r="AI39" s="5235"/>
      <c r="AJ39" s="5235"/>
      <c r="AK39" s="5235"/>
      <c r="AL39" s="5235"/>
      <c r="AM39" s="5235"/>
      <c r="AN39" s="5235"/>
      <c r="AO39" s="5235"/>
      <c r="AP39" s="5235"/>
      <c r="AQ39" s="5235"/>
      <c r="AR39" s="5235"/>
      <c r="AS39" s="5235"/>
      <c r="AT39" s="5235"/>
      <c r="AU39" s="5235" t="s">
        <v>328</v>
      </c>
      <c r="BA39" s="1081">
        <v>14</v>
      </c>
    </row>
    <row r="40" spans="1:53" ht="14.65" customHeight="1">
      <c r="Q40" s="228"/>
      <c r="R40" s="312"/>
      <c r="S40" s="5395" t="s">
        <v>90</v>
      </c>
      <c r="T40" s="5339" t="s">
        <v>505</v>
      </c>
      <c r="U40" s="238"/>
      <c r="V40" s="5397"/>
      <c r="W40" s="5397"/>
      <c r="X40" s="5397"/>
      <c r="Y40" s="5397"/>
      <c r="Z40" s="5398"/>
      <c r="AA40" s="5453" t="s">
        <v>454</v>
      </c>
      <c r="AB40" s="5437" t="s">
        <v>506</v>
      </c>
      <c r="AC40" s="5419"/>
      <c r="AD40" s="5419"/>
      <c r="AE40" s="5438"/>
      <c r="AF40" s="5419" t="s">
        <v>507</v>
      </c>
      <c r="AG40" s="5419"/>
      <c r="AH40" s="5419"/>
      <c r="AI40" s="5438"/>
      <c r="AJ40" s="5437" t="s">
        <v>508</v>
      </c>
      <c r="AK40" s="5419"/>
      <c r="AL40" s="5419"/>
      <c r="AM40" s="5438"/>
      <c r="AN40" s="5437" t="s">
        <v>453</v>
      </c>
      <c r="AO40" s="5419"/>
      <c r="AP40" s="5397"/>
      <c r="AQ40" s="5397"/>
      <c r="AR40" s="5398"/>
      <c r="AS40" s="5399" t="s">
        <v>454</v>
      </c>
      <c r="AT40" s="5402" t="s">
        <v>456</v>
      </c>
      <c r="AU40" s="5235"/>
      <c r="BA40" s="1081">
        <v>14</v>
      </c>
    </row>
    <row r="41" spans="1:53" ht="35.65" customHeight="1">
      <c r="Q41" s="228"/>
      <c r="R41" s="312"/>
      <c r="S41" s="5395"/>
      <c r="T41" s="5339"/>
      <c r="U41" s="960"/>
      <c r="V41" s="5235" t="s">
        <v>509</v>
      </c>
      <c r="W41" s="5235"/>
      <c r="X41" s="5312" t="s">
        <v>460</v>
      </c>
      <c r="Y41" s="5432"/>
      <c r="Z41" s="5313"/>
      <c r="AA41" s="5454"/>
      <c r="AB41" s="5439"/>
      <c r="AC41" s="5440"/>
      <c r="AD41" s="5440"/>
      <c r="AE41" s="5452"/>
      <c r="AF41" s="5440"/>
      <c r="AG41" s="5440"/>
      <c r="AH41" s="5440"/>
      <c r="AI41" s="5452"/>
      <c r="AJ41" s="5439"/>
      <c r="AK41" s="5440"/>
      <c r="AL41" s="5440"/>
      <c r="AM41" s="5440"/>
      <c r="AN41" s="5235" t="s">
        <v>509</v>
      </c>
      <c r="AO41" s="5235"/>
      <c r="AP41" s="5432" t="s">
        <v>460</v>
      </c>
      <c r="AQ41" s="5432"/>
      <c r="AR41" s="5313"/>
      <c r="AS41" s="5400"/>
      <c r="AT41" s="5403"/>
      <c r="AU41" s="5235"/>
      <c r="BA41" s="1081">
        <v>34</v>
      </c>
    </row>
    <row r="42" spans="1:53" ht="14.65" customHeight="1">
      <c r="Q42" s="228"/>
      <c r="R42" s="312"/>
      <c r="S42" s="5395"/>
      <c r="T42" s="5339"/>
      <c r="U42" s="960"/>
      <c r="V42" s="5457" t="str">
        <f>IF($AN$42&lt;&gt;"",$AN$42,"")</f>
        <v/>
      </c>
      <c r="W42" s="5457"/>
      <c r="X42" s="5317"/>
      <c r="Y42" s="5433"/>
      <c r="Z42" s="5318"/>
      <c r="AA42" s="5454"/>
      <c r="AB42" s="5439"/>
      <c r="AC42" s="5440"/>
      <c r="AD42" s="5440"/>
      <c r="AE42" s="5452"/>
      <c r="AF42" s="5440"/>
      <c r="AG42" s="5440"/>
      <c r="AH42" s="5440"/>
      <c r="AI42" s="5452"/>
      <c r="AJ42" s="5439"/>
      <c r="AK42" s="5440"/>
      <c r="AL42" s="5440"/>
      <c r="AM42" s="5440"/>
      <c r="AN42" s="5456"/>
      <c r="AO42" s="5456"/>
      <c r="AP42" s="5433"/>
      <c r="AQ42" s="5433"/>
      <c r="AR42" s="5318"/>
      <c r="AS42" s="5400"/>
      <c r="AT42" s="5403"/>
      <c r="AU42" s="5235"/>
      <c r="BA42" s="1081">
        <v>14</v>
      </c>
    </row>
    <row r="43" spans="1:53" ht="14.65" customHeight="1">
      <c r="A43" s="1296"/>
      <c r="B43" s="1296" t="s">
        <v>137</v>
      </c>
      <c r="C43" s="1296" t="s">
        <v>138</v>
      </c>
      <c r="D43" s="1296" t="s">
        <v>139</v>
      </c>
      <c r="E43" s="1290" t="s">
        <v>461</v>
      </c>
      <c r="F43" s="1290" t="s">
        <v>462</v>
      </c>
      <c r="G43" s="1290" t="s">
        <v>463</v>
      </c>
      <c r="H43" s="1290" t="s">
        <v>464</v>
      </c>
      <c r="I43" s="1290" t="s">
        <v>465</v>
      </c>
      <c r="J43" s="1290" t="s">
        <v>466</v>
      </c>
      <c r="K43" s="1290" t="s">
        <v>467</v>
      </c>
      <c r="L43" s="1290" t="s">
        <v>442</v>
      </c>
      <c r="Q43" s="228"/>
      <c r="R43" s="312"/>
      <c r="S43" s="5395"/>
      <c r="T43" s="5339"/>
      <c r="U43" s="239"/>
      <c r="V43" s="1256" t="s">
        <v>510</v>
      </c>
      <c r="W43" s="1256" t="s">
        <v>511</v>
      </c>
      <c r="X43" s="1264" t="s">
        <v>470</v>
      </c>
      <c r="Y43" s="5344" t="s">
        <v>471</v>
      </c>
      <c r="Z43" s="5358"/>
      <c r="AA43" s="5455"/>
      <c r="AB43" s="5441"/>
      <c r="AC43" s="5442"/>
      <c r="AD43" s="5442"/>
      <c r="AE43" s="5443"/>
      <c r="AF43" s="5442"/>
      <c r="AG43" s="5442"/>
      <c r="AH43" s="5442"/>
      <c r="AI43" s="5443"/>
      <c r="AJ43" s="5441"/>
      <c r="AK43" s="5442"/>
      <c r="AL43" s="5442"/>
      <c r="AM43" s="5443"/>
      <c r="AN43" s="1784" t="s">
        <v>510</v>
      </c>
      <c r="AO43" s="1784" t="s">
        <v>511</v>
      </c>
      <c r="AP43" s="1264" t="s">
        <v>470</v>
      </c>
      <c r="AQ43" s="5344" t="s">
        <v>471</v>
      </c>
      <c r="AR43" s="5358"/>
      <c r="AS43" s="5401"/>
      <c r="AT43" s="5404"/>
      <c r="AU43" s="5235"/>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111</v>
      </c>
      <c r="T44" s="1181" t="s">
        <v>112</v>
      </c>
      <c r="U44" s="1171" t="str">
        <f ca="1">OFFSET(U44,0,-1)</f>
        <v>2</v>
      </c>
      <c r="V44" s="1261">
        <f ca="1">OFFSET(V44,0,-1)+1</f>
        <v>3</v>
      </c>
      <c r="W44" s="1261">
        <f ca="1">OFFSET(W44,0,-1)+1</f>
        <v>4</v>
      </c>
      <c r="X44" s="1261">
        <f ca="1">OFFSET(X44,0,-1)+1</f>
        <v>5</v>
      </c>
      <c r="Y44" s="5392">
        <f ca="1">OFFSET(Y44,0,-1)+1</f>
        <v>6</v>
      </c>
      <c r="Z44" s="5392"/>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5392">
        <f ca="1">OFFSET(AQ44,0,-1)+1</f>
        <v>4</v>
      </c>
      <c r="AR44" s="5392"/>
      <c r="AS44" s="1261">
        <f ca="1">OFFSET(AS44,0,-2)+1</f>
        <v>5</v>
      </c>
      <c r="AT44" s="1171">
        <f ca="1">OFFSET(AT44,0,-1)</f>
        <v>5</v>
      </c>
      <c r="AU44" s="1261">
        <f ca="1">OFFSET(AU44,0,-1)+1</f>
        <v>6</v>
      </c>
      <c r="AV44" s="447"/>
      <c r="AW44" s="447"/>
      <c r="AX44" s="447"/>
      <c r="AY44" s="447"/>
      <c r="AZ44" s="447"/>
      <c r="BA44" s="432">
        <v>0</v>
      </c>
    </row>
    <row r="45" spans="1:53" ht="107.25" customHeight="1">
      <c r="A45" s="1289" t="s">
        <v>227</v>
      </c>
      <c r="B45" s="1289"/>
      <c r="C45" s="1289"/>
      <c r="D45" s="1289"/>
      <c r="E45" s="5381">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5374"/>
      <c r="W45" s="5374"/>
      <c r="X45" s="5374"/>
      <c r="Y45" s="5374"/>
      <c r="Z45" s="5374"/>
      <c r="AA45" s="5375"/>
      <c r="AB45" s="5373" t="str">
        <f>INDEX(PT_DIFFERENTIATION_NTAR,MATCH(A45,PT_DIFFERENTIATION_NTAR_ID,0))</f>
        <v/>
      </c>
      <c r="AC45" s="5374"/>
      <c r="AD45" s="5374"/>
      <c r="AE45" s="5374"/>
      <c r="AF45" s="5374"/>
      <c r="AG45" s="5374"/>
      <c r="AH45" s="5374"/>
      <c r="AI45" s="5374"/>
      <c r="AJ45" s="5374"/>
      <c r="AK45" s="5374"/>
      <c r="AL45" s="5374"/>
      <c r="AM45" s="5374"/>
      <c r="AN45" s="5374"/>
      <c r="AO45" s="5374"/>
      <c r="AP45" s="5374"/>
      <c r="AQ45" s="5374"/>
      <c r="AR45" s="5374"/>
      <c r="AS45" s="5374"/>
      <c r="AT45" s="5375"/>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227</v>
      </c>
      <c r="B46" s="1289" t="s">
        <v>228</v>
      </c>
      <c r="C46" s="1289"/>
      <c r="D46" s="1289"/>
      <c r="E46" s="5382"/>
      <c r="F46" s="5381">
        <v>1</v>
      </c>
      <c r="G46" s="1289"/>
      <c r="H46" s="1289"/>
      <c r="I46" s="1289"/>
      <c r="J46" s="1289"/>
      <c r="K46" s="1289"/>
      <c r="L46" s="1290"/>
      <c r="M46" s="1291"/>
      <c r="N46" s="1291"/>
      <c r="O46" s="1291"/>
      <c r="P46" s="1336"/>
      <c r="Q46" s="1337"/>
      <c r="R46" s="289"/>
      <c r="S46" s="1262" t="str">
        <f>INDEX(PT_DIFFERENTIATION_NUM_TER,MATCH(B46,PT_DIFFERENTIATION_TER_ID,0))</f>
        <v>.</v>
      </c>
      <c r="T46" s="245" t="s">
        <v>424</v>
      </c>
      <c r="U46" s="237"/>
      <c r="V46" s="5374"/>
      <c r="W46" s="5374"/>
      <c r="X46" s="5374"/>
      <c r="Y46" s="5374"/>
      <c r="Z46" s="5374"/>
      <c r="AA46" s="5375"/>
      <c r="AB46" s="5373" t="str">
        <f>INDEX(PT_DIFFERENTIATION_TER,MATCH(B46,PT_DIFFERENTIATION_TER_ID,0))</f>
        <v/>
      </c>
      <c r="AC46" s="5374"/>
      <c r="AD46" s="5374"/>
      <c r="AE46" s="5374"/>
      <c r="AF46" s="5374"/>
      <c r="AG46" s="5374"/>
      <c r="AH46" s="5374"/>
      <c r="AI46" s="5374"/>
      <c r="AJ46" s="5374"/>
      <c r="AK46" s="5374"/>
      <c r="AL46" s="5374"/>
      <c r="AM46" s="5374"/>
      <c r="AN46" s="5374"/>
      <c r="AO46" s="5374"/>
      <c r="AP46" s="5374"/>
      <c r="AQ46" s="5374"/>
      <c r="AR46" s="5374"/>
      <c r="AS46" s="5374"/>
      <c r="AT46" s="5375"/>
      <c r="AU46" s="1184" t="s">
        <v>425</v>
      </c>
      <c r="AW46" s="436"/>
      <c r="AX46" s="436" t="str">
        <f t="shared" si="2"/>
        <v>Территория действия тарифа</v>
      </c>
      <c r="AY46" s="436"/>
      <c r="AZ46" s="436"/>
      <c r="BA46" s="1081">
        <v>21</v>
      </c>
    </row>
    <row r="47" spans="1:53" ht="24" customHeight="1">
      <c r="A47" s="1289" t="s">
        <v>227</v>
      </c>
      <c r="B47" s="1289" t="s">
        <v>228</v>
      </c>
      <c r="C47" s="1289" t="s">
        <v>229</v>
      </c>
      <c r="D47" s="1289"/>
      <c r="E47" s="5382"/>
      <c r="F47" s="5382"/>
      <c r="G47" s="5381">
        <v>1</v>
      </c>
      <c r="H47" s="1289"/>
      <c r="I47" s="1289"/>
      <c r="J47" s="1289"/>
      <c r="K47" s="1289"/>
      <c r="L47" s="1290"/>
      <c r="M47" s="1291"/>
      <c r="N47" s="1291"/>
      <c r="O47" s="1291"/>
      <c r="P47" s="1338"/>
      <c r="Q47" s="1337"/>
      <c r="R47" s="289"/>
      <c r="S47" s="1262" t="str">
        <f>INDEX(PT_DIFFERENTIATION_NUM_CS,MATCH(C47,PT_DIFFERENTIATION_CS_ID,0))</f>
        <v>..</v>
      </c>
      <c r="T47" s="246" t="s">
        <v>426</v>
      </c>
      <c r="U47" s="237"/>
      <c r="V47" s="5374"/>
      <c r="W47" s="5374"/>
      <c r="X47" s="5374"/>
      <c r="Y47" s="5374"/>
      <c r="Z47" s="5374"/>
      <c r="AA47" s="5375"/>
      <c r="AB47" s="5373" t="str">
        <f>INDEX(PT_DIFFERENTIATION_CS,MATCH(C47,PT_DIFFERENTIATION_CS_ID,0))</f>
        <v/>
      </c>
      <c r="AC47" s="5374"/>
      <c r="AD47" s="5374"/>
      <c r="AE47" s="5374"/>
      <c r="AF47" s="5374"/>
      <c r="AG47" s="5374"/>
      <c r="AH47" s="5374"/>
      <c r="AI47" s="5374"/>
      <c r="AJ47" s="5374"/>
      <c r="AK47" s="5374"/>
      <c r="AL47" s="5374"/>
      <c r="AM47" s="5374"/>
      <c r="AN47" s="5374"/>
      <c r="AO47" s="5374"/>
      <c r="AP47" s="5374"/>
      <c r="AQ47" s="5374"/>
      <c r="AR47" s="5374"/>
      <c r="AS47" s="5374"/>
      <c r="AT47" s="5375"/>
      <c r="AU47" s="1184" t="s">
        <v>427</v>
      </c>
      <c r="AW47" s="436"/>
      <c r="AX47" s="436" t="str">
        <f t="shared" si="2"/>
        <v xml:space="preserve">Наименование системы теплоснабжения </v>
      </c>
      <c r="AY47" s="436"/>
      <c r="AZ47" s="436"/>
      <c r="BA47" s="1081">
        <v>23</v>
      </c>
    </row>
    <row r="48" spans="1:53" ht="21" customHeight="1">
      <c r="A48" s="1289" t="s">
        <v>227</v>
      </c>
      <c r="B48" s="1289" t="s">
        <v>228</v>
      </c>
      <c r="C48" s="1289" t="s">
        <v>229</v>
      </c>
      <c r="D48" s="1289" t="s">
        <v>230</v>
      </c>
      <c r="E48" s="5382"/>
      <c r="F48" s="5382"/>
      <c r="G48" s="5382"/>
      <c r="H48" s="5381">
        <v>1</v>
      </c>
      <c r="I48" s="1289"/>
      <c r="J48" s="1289"/>
      <c r="K48" s="1289"/>
      <c r="L48" s="1290"/>
      <c r="M48" s="1291"/>
      <c r="N48" s="1291"/>
      <c r="O48" s="1291"/>
      <c r="P48" s="1338"/>
      <c r="Q48" s="1337"/>
      <c r="R48" s="289"/>
      <c r="S48" s="1262" t="str">
        <f>INDEX(PT_DIFFERENTIATION_NUM_IST_TE,MATCH(D48,PT_DIFFERENTIATION_IST_TE_ID,0))</f>
        <v>...</v>
      </c>
      <c r="T48" s="247" t="s">
        <v>428</v>
      </c>
      <c r="U48" s="237"/>
      <c r="V48" s="5374"/>
      <c r="W48" s="5374"/>
      <c r="X48" s="5374"/>
      <c r="Y48" s="5374"/>
      <c r="Z48" s="5374"/>
      <c r="AA48" s="5375"/>
      <c r="AB48" s="5373" t="str">
        <f>INDEX(PT_DIFFERENTIATION_IST_TE,MATCH(D48,PT_DIFFERENTIATION_IST_TE_ID,0))</f>
        <v/>
      </c>
      <c r="AC48" s="5374"/>
      <c r="AD48" s="5374"/>
      <c r="AE48" s="5374"/>
      <c r="AF48" s="5374"/>
      <c r="AG48" s="5374"/>
      <c r="AH48" s="5374"/>
      <c r="AI48" s="5374"/>
      <c r="AJ48" s="5374"/>
      <c r="AK48" s="5374"/>
      <c r="AL48" s="5374"/>
      <c r="AM48" s="5374"/>
      <c r="AN48" s="5374"/>
      <c r="AO48" s="5374"/>
      <c r="AP48" s="5374"/>
      <c r="AQ48" s="5374"/>
      <c r="AR48" s="5374"/>
      <c r="AS48" s="5374"/>
      <c r="AT48" s="5375"/>
      <c r="AU48" s="1184" t="s">
        <v>429</v>
      </c>
      <c r="AW48" s="436"/>
      <c r="AX48" s="436" t="str">
        <f t="shared" si="2"/>
        <v xml:space="preserve">Источник тепловой энергии  </v>
      </c>
      <c r="AY48" s="436"/>
      <c r="AZ48" s="436"/>
      <c r="BA48" s="1081">
        <v>20</v>
      </c>
    </row>
    <row r="49" spans="1:53" s="1568" customFormat="1" ht="1.1499999999999999" customHeight="1">
      <c r="A49" s="1269" t="s">
        <v>227</v>
      </c>
      <c r="B49" s="1269" t="s">
        <v>228</v>
      </c>
      <c r="C49" s="1269" t="s">
        <v>229</v>
      </c>
      <c r="D49" s="1269" t="s">
        <v>230</v>
      </c>
      <c r="E49" s="5382"/>
      <c r="F49" s="5382"/>
      <c r="G49" s="5382"/>
      <c r="H49" s="5382"/>
      <c r="I49" s="5383" t="str">
        <f>S48&amp;".1"</f>
        <v>....1</v>
      </c>
      <c r="J49" s="1269"/>
      <c r="K49" s="1269"/>
      <c r="L49" s="1272" t="s">
        <v>430</v>
      </c>
      <c r="M49" s="446"/>
      <c r="N49" s="446"/>
      <c r="O49" s="446"/>
      <c r="P49" s="5385">
        <v>1</v>
      </c>
      <c r="Q49" s="1257"/>
      <c r="R49" s="292"/>
      <c r="S49" s="971"/>
      <c r="T49" s="1309"/>
      <c r="U49" s="1310"/>
      <c r="V49" s="5421"/>
      <c r="W49" s="5421"/>
      <c r="X49" s="5421"/>
      <c r="Y49" s="5421"/>
      <c r="Z49" s="5421"/>
      <c r="AA49" s="5422"/>
      <c r="AB49" s="5420"/>
      <c r="AC49" s="5421"/>
      <c r="AD49" s="5421"/>
      <c r="AE49" s="5421"/>
      <c r="AF49" s="5421"/>
      <c r="AG49" s="5421"/>
      <c r="AH49" s="5421"/>
      <c r="AI49" s="5421"/>
      <c r="AJ49" s="5421"/>
      <c r="AK49" s="5421"/>
      <c r="AL49" s="5421"/>
      <c r="AM49" s="5421"/>
      <c r="AN49" s="5421"/>
      <c r="AO49" s="5421"/>
      <c r="AP49" s="5421"/>
      <c r="AQ49" s="5421"/>
      <c r="AR49" s="5421"/>
      <c r="AS49" s="5421"/>
      <c r="AT49" s="5422"/>
      <c r="AU49" s="1311"/>
      <c r="AW49" s="436"/>
      <c r="AX49" s="436" t="str">
        <f t="shared" si="2"/>
        <v/>
      </c>
      <c r="AY49" s="436"/>
      <c r="AZ49" s="436"/>
      <c r="BA49" s="447">
        <v>1</v>
      </c>
    </row>
    <row r="50" spans="1:53" s="1568" customFormat="1" ht="1.1499999999999999" customHeight="1">
      <c r="A50" s="1269" t="s">
        <v>227</v>
      </c>
      <c r="B50" s="1269" t="s">
        <v>228</v>
      </c>
      <c r="C50" s="1269" t="s">
        <v>229</v>
      </c>
      <c r="D50" s="1269" t="s">
        <v>230</v>
      </c>
      <c r="E50" s="5382"/>
      <c r="F50" s="5382"/>
      <c r="G50" s="5382"/>
      <c r="H50" s="5382"/>
      <c r="I50" s="5384"/>
      <c r="J50" s="5383" t="str">
        <f>S48&amp;".1"</f>
        <v>....1</v>
      </c>
      <c r="K50" s="1269"/>
      <c r="L50" s="1272"/>
      <c r="M50" s="446"/>
      <c r="N50" s="446"/>
      <c r="O50" s="446"/>
      <c r="P50" s="5385"/>
      <c r="Q50" s="5385">
        <v>1</v>
      </c>
      <c r="R50" s="293"/>
      <c r="S50" s="971"/>
      <c r="T50" s="1325"/>
      <c r="U50" s="1310"/>
      <c r="V50" s="5421"/>
      <c r="W50" s="5421"/>
      <c r="X50" s="5421"/>
      <c r="Y50" s="5421"/>
      <c r="Z50" s="5421"/>
      <c r="AA50" s="5422"/>
      <c r="AB50" s="5420"/>
      <c r="AC50" s="5421"/>
      <c r="AD50" s="5421"/>
      <c r="AE50" s="5421"/>
      <c r="AF50" s="5421"/>
      <c r="AG50" s="5421"/>
      <c r="AH50" s="5421"/>
      <c r="AI50" s="5421"/>
      <c r="AJ50" s="5421"/>
      <c r="AK50" s="5421"/>
      <c r="AL50" s="5421"/>
      <c r="AM50" s="5421"/>
      <c r="AN50" s="5421"/>
      <c r="AO50" s="5421"/>
      <c r="AP50" s="5421"/>
      <c r="AQ50" s="5421"/>
      <c r="AR50" s="5421"/>
      <c r="AS50" s="5421"/>
      <c r="AT50" s="5422"/>
      <c r="AU50" s="1311"/>
      <c r="AW50" s="436"/>
      <c r="AX50" s="436" t="str">
        <f t="shared" si="2"/>
        <v/>
      </c>
      <c r="AY50" s="436"/>
      <c r="AZ50" s="436"/>
      <c r="BA50" s="447">
        <v>1</v>
      </c>
    </row>
    <row r="51" spans="1:53" ht="21.95" customHeight="1">
      <c r="A51" s="1289" t="s">
        <v>227</v>
      </c>
      <c r="B51" s="1289" t="s">
        <v>228</v>
      </c>
      <c r="C51" s="1289" t="s">
        <v>229</v>
      </c>
      <c r="D51" s="1289" t="s">
        <v>230</v>
      </c>
      <c r="E51" s="5382"/>
      <c r="F51" s="5382"/>
      <c r="G51" s="5382"/>
      <c r="H51" s="5382"/>
      <c r="I51" s="5384"/>
      <c r="J51" s="5384"/>
      <c r="K51" s="5383" t="str">
        <f>S48&amp;".1"</f>
        <v>....1</v>
      </c>
      <c r="L51" s="1290"/>
      <c r="P51" s="5385"/>
      <c r="Q51" s="5385"/>
      <c r="R51" s="293">
        <v>1</v>
      </c>
      <c r="S51" s="5448" t="str">
        <f>$K51</f>
        <v>....1</v>
      </c>
      <c r="T51" s="5445"/>
      <c r="U51" s="237"/>
      <c r="V51" s="687"/>
      <c r="W51" s="1183"/>
      <c r="X51" s="1659"/>
      <c r="Y51" s="1385" t="s">
        <v>65</v>
      </c>
      <c r="Z51" s="1659"/>
      <c r="AA51" s="1385" t="s">
        <v>65</v>
      </c>
      <c r="AB51" s="5245" t="s">
        <v>19</v>
      </c>
      <c r="AC51" s="5444"/>
      <c r="AD51" s="5335">
        <v>1</v>
      </c>
      <c r="AE51" s="5436" t="s">
        <v>28</v>
      </c>
      <c r="AF51" s="5245" t="s">
        <v>19</v>
      </c>
      <c r="AG51" s="5444"/>
      <c r="AH51" s="5335">
        <v>1</v>
      </c>
      <c r="AI51" s="5436" t="s">
        <v>28</v>
      </c>
      <c r="AJ51" s="5245" t="s">
        <v>19</v>
      </c>
      <c r="AK51" s="248"/>
      <c r="AL51" s="1263">
        <v>1</v>
      </c>
      <c r="AM51" s="1328"/>
      <c r="AN51" s="687"/>
      <c r="AO51" s="1183"/>
      <c r="AP51" s="1659"/>
      <c r="AQ51" s="1385" t="s">
        <v>65</v>
      </c>
      <c r="AR51" s="1659"/>
      <c r="AS51" s="1385" t="s">
        <v>65</v>
      </c>
      <c r="AT51" s="1274"/>
      <c r="AU51" s="5405" t="s">
        <v>512</v>
      </c>
      <c r="AV51" s="447" t="e">
        <f ca="1">STRCHECKDATE(V54:AT54)</f>
        <v>#NAME?</v>
      </c>
      <c r="AW51" s="436"/>
      <c r="AX51" s="436" t="str">
        <f t="shared" si="2"/>
        <v/>
      </c>
      <c r="AY51" s="436"/>
      <c r="AZ51" s="436"/>
      <c r="BA51" s="1081">
        <v>21</v>
      </c>
    </row>
    <row r="52" spans="1:53" ht="11.45" customHeight="1">
      <c r="A52" s="1289" t="s">
        <v>227</v>
      </c>
      <c r="B52" s="1289"/>
      <c r="C52" s="1289"/>
      <c r="D52" s="1289"/>
      <c r="E52" s="5382"/>
      <c r="F52" s="5382"/>
      <c r="G52" s="5382"/>
      <c r="H52" s="5382"/>
      <c r="I52" s="5384"/>
      <c r="J52" s="5384"/>
      <c r="K52" s="5383"/>
      <c r="L52" s="1290"/>
      <c r="P52" s="5385"/>
      <c r="Q52" s="5385"/>
      <c r="R52" s="293"/>
      <c r="S52" s="5449"/>
      <c r="T52" s="5446"/>
      <c r="U52" s="237"/>
      <c r="V52" s="1319"/>
      <c r="W52" s="1422"/>
      <c r="X52" s="1319"/>
      <c r="Y52" s="1319"/>
      <c r="Z52" s="1319"/>
      <c r="AA52" s="1319"/>
      <c r="AB52" s="5245"/>
      <c r="AC52" s="5444"/>
      <c r="AD52" s="5335"/>
      <c r="AE52" s="5436"/>
      <c r="AF52" s="5245"/>
      <c r="AG52" s="5444"/>
      <c r="AH52" s="5335"/>
      <c r="AI52" s="5436"/>
      <c r="AJ52" s="5245"/>
      <c r="AK52" s="253"/>
      <c r="AL52" s="352"/>
      <c r="AM52" s="351" t="s">
        <v>497</v>
      </c>
      <c r="AN52" s="1319"/>
      <c r="AO52" s="1422"/>
      <c r="AP52" s="1319"/>
      <c r="AQ52" s="1319"/>
      <c r="AR52" s="1319"/>
      <c r="AS52" s="1319"/>
      <c r="AT52" s="1316"/>
      <c r="AU52" s="5406"/>
      <c r="AW52" s="436"/>
      <c r="AX52" s="436"/>
      <c r="AY52" s="436"/>
      <c r="AZ52" s="436"/>
      <c r="BA52" s="1081">
        <v>11</v>
      </c>
    </row>
    <row r="53" spans="1:53" ht="11.45" customHeight="1">
      <c r="A53" s="1289" t="s">
        <v>227</v>
      </c>
      <c r="B53" s="1289"/>
      <c r="C53" s="1289"/>
      <c r="D53" s="1289"/>
      <c r="E53" s="5382"/>
      <c r="F53" s="5382"/>
      <c r="G53" s="5382"/>
      <c r="H53" s="5382"/>
      <c r="I53" s="5384"/>
      <c r="J53" s="5384"/>
      <c r="K53" s="5383"/>
      <c r="L53" s="1290"/>
      <c r="P53" s="5385"/>
      <c r="Q53" s="5385"/>
      <c r="R53" s="293"/>
      <c r="S53" s="5449"/>
      <c r="T53" s="5446"/>
      <c r="U53" s="237"/>
      <c r="V53" s="1319"/>
      <c r="W53" s="1422"/>
      <c r="X53" s="1319"/>
      <c r="Y53" s="1319"/>
      <c r="Z53" s="1319"/>
      <c r="AA53" s="1319"/>
      <c r="AB53" s="5245"/>
      <c r="AC53" s="5444"/>
      <c r="AD53" s="5335"/>
      <c r="AE53" s="5436"/>
      <c r="AF53" s="5245"/>
      <c r="AG53" s="231"/>
      <c r="AH53" s="351"/>
      <c r="AI53" s="351" t="s">
        <v>498</v>
      </c>
      <c r="AJ53" s="1319"/>
      <c r="AK53" s="1319"/>
      <c r="AL53" s="1319"/>
      <c r="AM53" s="1319"/>
      <c r="AN53" s="1319"/>
      <c r="AO53" s="1422"/>
      <c r="AP53" s="1319"/>
      <c r="AQ53" s="1319"/>
      <c r="AR53" s="1319"/>
      <c r="AS53" s="1319"/>
      <c r="AT53" s="1316"/>
      <c r="AU53" s="5406"/>
      <c r="AW53" s="436"/>
      <c r="AX53" s="436"/>
      <c r="AY53" s="436"/>
      <c r="AZ53" s="436"/>
      <c r="BA53" s="1081">
        <v>11</v>
      </c>
    </row>
    <row r="54" spans="1:53" ht="11.45" customHeight="1">
      <c r="A54" s="1289" t="s">
        <v>227</v>
      </c>
      <c r="B54" s="1289" t="s">
        <v>228</v>
      </c>
      <c r="C54" s="1289" t="s">
        <v>229</v>
      </c>
      <c r="D54" s="1289" t="s">
        <v>230</v>
      </c>
      <c r="E54" s="5382"/>
      <c r="F54" s="5382"/>
      <c r="G54" s="5382"/>
      <c r="H54" s="5382"/>
      <c r="I54" s="5384"/>
      <c r="J54" s="5384"/>
      <c r="K54" s="5383"/>
      <c r="L54" s="1290"/>
      <c r="P54" s="5385"/>
      <c r="Q54" s="5385"/>
      <c r="R54" s="293"/>
      <c r="S54" s="5450"/>
      <c r="T54" s="5447"/>
      <c r="U54" s="237"/>
      <c r="V54" s="1319"/>
      <c r="W54" s="1320" t="str">
        <f>X51&amp;"-"&amp;Z51</f>
        <v>-</v>
      </c>
      <c r="X54" s="1319"/>
      <c r="Y54" s="1319"/>
      <c r="Z54" s="1319"/>
      <c r="AA54" s="1319"/>
      <c r="AB54" s="5245"/>
      <c r="AC54" s="249"/>
      <c r="AD54" s="251"/>
      <c r="AE54" s="351" t="s">
        <v>499</v>
      </c>
      <c r="AF54" s="1319"/>
      <c r="AG54" s="1319"/>
      <c r="AH54" s="1319"/>
      <c r="AI54" s="1319"/>
      <c r="AJ54" s="1319"/>
      <c r="AK54" s="1319"/>
      <c r="AL54" s="1319"/>
      <c r="AM54" s="1319"/>
      <c r="AN54" s="1319"/>
      <c r="AO54" s="1320" t="str">
        <f>AP51&amp;"-"&amp;AR51</f>
        <v>-</v>
      </c>
      <c r="AP54" s="1319"/>
      <c r="AQ54" s="1319"/>
      <c r="AR54" s="1319"/>
      <c r="AS54" s="1319"/>
      <c r="AT54" s="1275"/>
      <c r="AU54" s="5406"/>
      <c r="AW54" s="436"/>
      <c r="AX54" s="436" t="str">
        <f t="shared" ref="AX54:AX62" si="3">IF(T54="","",T54)</f>
        <v/>
      </c>
      <c r="AY54" s="436"/>
      <c r="AZ54" s="436"/>
      <c r="BA54" s="1081">
        <v>11</v>
      </c>
    </row>
    <row r="55" spans="1:53" ht="11.45" customHeight="1">
      <c r="A55" s="1289" t="s">
        <v>227</v>
      </c>
      <c r="B55" s="1289" t="s">
        <v>228</v>
      </c>
      <c r="C55" s="1289" t="s">
        <v>229</v>
      </c>
      <c r="D55" s="1289" t="s">
        <v>230</v>
      </c>
      <c r="E55" s="5382"/>
      <c r="F55" s="5382"/>
      <c r="G55" s="5382"/>
      <c r="H55" s="5382"/>
      <c r="I55" s="5384"/>
      <c r="J55" s="5383"/>
      <c r="K55" s="1289"/>
      <c r="L55" s="1290"/>
      <c r="P55" s="5385"/>
      <c r="Q55" s="5385"/>
      <c r="R55" s="292"/>
      <c r="S55" s="1204"/>
      <c r="T55" s="224" t="s">
        <v>500</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5407"/>
      <c r="AW55" s="436"/>
      <c r="AX55" s="436" t="str">
        <f t="shared" si="3"/>
        <v>Добавить строку</v>
      </c>
      <c r="AY55" s="436"/>
      <c r="AZ55" s="436"/>
      <c r="BA55" s="1081">
        <v>11</v>
      </c>
    </row>
    <row r="56" spans="1:53" s="1568" customFormat="1" ht="1.1499999999999999" customHeight="1">
      <c r="A56" s="1269" t="s">
        <v>227</v>
      </c>
      <c r="B56" s="1269" t="s">
        <v>228</v>
      </c>
      <c r="C56" s="1269" t="s">
        <v>229</v>
      </c>
      <c r="D56" s="1269" t="s">
        <v>230</v>
      </c>
      <c r="E56" s="5382"/>
      <c r="F56" s="5382"/>
      <c r="G56" s="5382"/>
      <c r="H56" s="5382"/>
      <c r="I56" s="5383"/>
      <c r="J56" s="1269"/>
      <c r="K56" s="1269"/>
      <c r="L56" s="1272"/>
      <c r="M56" s="446"/>
      <c r="N56" s="446"/>
      <c r="O56" s="446"/>
      <c r="P56" s="5385"/>
      <c r="Q56" s="1257"/>
      <c r="R56" s="292"/>
      <c r="S56" s="1312"/>
      <c r="T56" s="1313" t="s">
        <v>439</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227</v>
      </c>
      <c r="B57" s="1269" t="s">
        <v>228</v>
      </c>
      <c r="C57" s="1269" t="s">
        <v>229</v>
      </c>
      <c r="D57" s="1269" t="s">
        <v>230</v>
      </c>
      <c r="E57" s="5382"/>
      <c r="F57" s="5382"/>
      <c r="G57" s="5382"/>
      <c r="H57" s="5381"/>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227</v>
      </c>
      <c r="B58" s="1269" t="s">
        <v>228</v>
      </c>
      <c r="C58" s="1269" t="s">
        <v>229</v>
      </c>
      <c r="D58" s="1240"/>
      <c r="E58" s="5382"/>
      <c r="F58" s="5382"/>
      <c r="G58" s="5381"/>
      <c r="H58" s="1240"/>
      <c r="I58" s="1240"/>
      <c r="J58" s="1240"/>
      <c r="K58" s="1240"/>
      <c r="L58" s="1265"/>
      <c r="M58" s="1241"/>
      <c r="N58" s="1241"/>
      <c r="P58" s="1242"/>
      <c r="Q58" s="1243"/>
      <c r="R58" s="1242"/>
      <c r="S58" s="1248"/>
      <c r="T58" s="1251" t="s">
        <v>163</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227</v>
      </c>
      <c r="B59" s="1269" t="s">
        <v>228</v>
      </c>
      <c r="C59" s="1240"/>
      <c r="D59" s="1240"/>
      <c r="E59" s="5382"/>
      <c r="F59" s="5381"/>
      <c r="G59" s="1240"/>
      <c r="H59" s="1240"/>
      <c r="I59" s="1240"/>
      <c r="J59" s="1240"/>
      <c r="K59" s="1240"/>
      <c r="L59" s="1265"/>
      <c r="M59" s="1247"/>
      <c r="N59" s="1247"/>
      <c r="P59" s="1242"/>
      <c r="Q59" s="1243"/>
      <c r="R59" s="1242"/>
      <c r="S59" s="1248"/>
      <c r="T59" s="1251" t="s">
        <v>164</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227</v>
      </c>
      <c r="B60" s="1269"/>
      <c r="C60" s="1269"/>
      <c r="D60" s="1269"/>
      <c r="E60" s="5382"/>
      <c r="F60" s="1269"/>
      <c r="G60" s="1269"/>
      <c r="H60" s="1269"/>
      <c r="I60" s="1269"/>
      <c r="J60" s="1269"/>
      <c r="K60" s="1269"/>
      <c r="L60" s="1272"/>
      <c r="M60" s="1247"/>
      <c r="N60" s="1247"/>
      <c r="O60" s="454"/>
      <c r="P60" s="316"/>
      <c r="Q60" s="1270"/>
      <c r="R60" s="316"/>
      <c r="S60" s="1248"/>
      <c r="T60" s="1251" t="s">
        <v>165</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227</v>
      </c>
      <c r="B61" s="1269"/>
      <c r="C61" s="1269"/>
      <c r="D61" s="1269"/>
      <c r="E61" s="5381"/>
      <c r="F61" s="1269"/>
      <c r="G61" s="1269"/>
      <c r="H61" s="1269"/>
      <c r="I61" s="1269"/>
      <c r="J61" s="1269"/>
      <c r="K61" s="1269"/>
      <c r="L61" s="1272"/>
      <c r="M61" s="1247"/>
      <c r="N61" s="1247"/>
      <c r="O61" s="454"/>
      <c r="P61" s="316"/>
      <c r="Q61" s="1270"/>
      <c r="R61" s="316"/>
      <c r="S61" s="1248"/>
      <c r="T61" s="1251" t="s">
        <v>165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182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5379"/>
      <c r="U64" s="5379"/>
      <c r="V64" s="5379"/>
      <c r="W64" s="5379"/>
      <c r="X64" s="5379"/>
      <c r="Y64" s="5379"/>
      <c r="Z64" s="5379"/>
      <c r="AA64" s="5379"/>
      <c r="AB64" s="5379"/>
      <c r="AC64" s="5379"/>
      <c r="AD64" s="5379"/>
      <c r="AE64" s="5379"/>
      <c r="AF64" s="5379"/>
      <c r="AG64" s="5379"/>
      <c r="AH64" s="5379"/>
      <c r="AI64" s="5379"/>
      <c r="AJ64" s="5379"/>
      <c r="AK64" s="5379"/>
      <c r="AL64" s="5379"/>
      <c r="AM64" s="5379"/>
      <c r="AN64" s="5379"/>
      <c r="AO64" s="5379"/>
      <c r="AP64" s="5379"/>
      <c r="AQ64" s="5379"/>
      <c r="AR64" s="5379"/>
      <c r="AS64" s="5379"/>
      <c r="AT64" s="5379"/>
      <c r="AU64" s="5379"/>
      <c r="BA64" s="1081">
        <v>19</v>
      </c>
    </row>
    <row r="65" spans="1:53" ht="21" customHeight="1">
      <c r="O65" s="473"/>
      <c r="T65" s="5379"/>
      <c r="U65" s="5379"/>
      <c r="V65" s="5379"/>
      <c r="W65" s="5379"/>
      <c r="X65" s="5379"/>
      <c r="Y65" s="5379"/>
      <c r="Z65" s="5379"/>
      <c r="AA65" s="5379"/>
      <c r="AB65" s="5379"/>
      <c r="AC65" s="5379"/>
      <c r="AD65" s="5379"/>
      <c r="AE65" s="5379"/>
      <c r="AF65" s="5379"/>
      <c r="AG65" s="5379"/>
      <c r="AH65" s="5379"/>
      <c r="AI65" s="5379"/>
      <c r="AJ65" s="5379"/>
      <c r="AK65" s="5379"/>
      <c r="AL65" s="5379"/>
      <c r="AM65" s="5379"/>
      <c r="AN65" s="5379"/>
      <c r="AO65" s="5379"/>
      <c r="AP65" s="5379"/>
      <c r="AQ65" s="5379"/>
      <c r="AR65" s="5379"/>
      <c r="AS65" s="5379"/>
      <c r="AT65" s="5379"/>
      <c r="AU65" s="5379"/>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5379"/>
      <c r="U67" s="5379"/>
      <c r="V67" s="5379"/>
      <c r="W67" s="5379"/>
      <c r="X67" s="5379"/>
      <c r="Y67" s="5379"/>
      <c r="Z67" s="5379"/>
      <c r="AA67" s="5379"/>
      <c r="AB67" s="5379"/>
      <c r="AC67" s="5379"/>
      <c r="AD67" s="5379"/>
      <c r="AE67" s="5379"/>
      <c r="AF67" s="5379"/>
      <c r="AG67" s="5379"/>
      <c r="AH67" s="5379"/>
      <c r="AI67" s="5379"/>
      <c r="AJ67" s="5379"/>
      <c r="AK67" s="5379"/>
      <c r="AL67" s="5379"/>
      <c r="AM67" s="5379"/>
      <c r="AN67" s="5379"/>
      <c r="AO67" s="5379"/>
      <c r="AP67" s="5379"/>
      <c r="AQ67" s="5379"/>
      <c r="AR67" s="5379"/>
      <c r="AS67" s="5379"/>
      <c r="AT67" s="5379"/>
      <c r="AU67" s="5379"/>
      <c r="BA67" s="1081">
        <v>19</v>
      </c>
    </row>
    <row r="68" spans="1:53" ht="16.899999999999999" customHeight="1">
      <c r="O68" s="473"/>
      <c r="T68" s="5379"/>
      <c r="U68" s="5379"/>
      <c r="V68" s="5379"/>
      <c r="W68" s="5379"/>
      <c r="X68" s="5379"/>
      <c r="Y68" s="5379"/>
      <c r="Z68" s="5379"/>
      <c r="AA68" s="5379"/>
      <c r="AB68" s="5379"/>
      <c r="AC68" s="5379"/>
      <c r="AD68" s="5379"/>
      <c r="AE68" s="5379"/>
      <c r="AF68" s="5379"/>
      <c r="AG68" s="5379"/>
      <c r="AH68" s="5379"/>
      <c r="AI68" s="5379"/>
      <c r="AJ68" s="5379"/>
      <c r="AK68" s="5379"/>
      <c r="AL68" s="5379"/>
      <c r="AM68" s="5379"/>
      <c r="AN68" s="5379"/>
      <c r="AO68" s="5379"/>
      <c r="AP68" s="5379"/>
      <c r="AQ68" s="5379"/>
      <c r="AR68" s="5379"/>
      <c r="AS68" s="5379"/>
      <c r="AT68" s="5379"/>
      <c r="AU68" s="5379"/>
      <c r="BA68" s="1081">
        <v>16</v>
      </c>
    </row>
    <row r="69" spans="1:53" ht="14.65" customHeight="1">
      <c r="O69" s="473"/>
      <c r="BA69" s="1081">
        <v>14</v>
      </c>
    </row>
    <row r="70" spans="1:53" ht="22.5" hidden="1" customHeight="1">
      <c r="A70" s="1086" t="s">
        <v>84</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5381">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5373"/>
      <c r="W2" s="5374"/>
      <c r="X2" s="5374"/>
      <c r="Y2" s="5374"/>
      <c r="Z2" s="5374"/>
      <c r="AA2" s="5374"/>
      <c r="AB2" s="5375"/>
      <c r="AC2" s="5373" t="e">
        <f>INDEX(PT_DIFFERENTIATION_NTAR,MATCH(A2,PT_DIFFERENTIATION_NTAR_ID,0))</f>
        <v>#N/A</v>
      </c>
      <c r="AD2" s="5374"/>
      <c r="AE2" s="5374"/>
      <c r="AF2" s="5374"/>
      <c r="AG2" s="5374"/>
      <c r="AH2" s="5374"/>
      <c r="AI2" s="5374"/>
      <c r="AJ2" s="53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5382"/>
      <c r="F3" s="5381">
        <v>1</v>
      </c>
      <c r="G3" s="1289"/>
      <c r="H3" s="1289"/>
      <c r="I3" s="1289"/>
      <c r="J3" s="1289"/>
      <c r="K3" s="1289"/>
      <c r="L3" s="1290"/>
      <c r="M3" s="1291"/>
      <c r="N3" s="1291"/>
      <c r="O3" s="1291"/>
      <c r="P3" s="1349"/>
      <c r="Q3" s="288"/>
      <c r="R3" s="289"/>
      <c r="S3" s="1351" t="e">
        <f>INDEX(PT_DIFFERENTIATION_NUM_TER,MATCH(B3,PT_DIFFERENTIATION_TER_ID,0))</f>
        <v>#N/A</v>
      </c>
      <c r="T3" s="245" t="s">
        <v>424</v>
      </c>
      <c r="U3" s="237"/>
      <c r="V3" s="5373"/>
      <c r="W3" s="5374"/>
      <c r="X3" s="5374"/>
      <c r="Y3" s="5374"/>
      <c r="Z3" s="5374"/>
      <c r="AA3" s="5374"/>
      <c r="AB3" s="5375"/>
      <c r="AC3" s="5373" t="e">
        <f>INDEX(PT_DIFFERENTIATION_TER,MATCH(B3,PT_DIFFERENTIATION_TER_ID,0))</f>
        <v>#N/A</v>
      </c>
      <c r="AD3" s="5374"/>
      <c r="AE3" s="5374"/>
      <c r="AF3" s="5374"/>
      <c r="AG3" s="5374"/>
      <c r="AH3" s="5374"/>
      <c r="AI3" s="5374"/>
      <c r="AJ3" s="5375"/>
      <c r="AK3" s="1184" t="s">
        <v>425</v>
      </c>
      <c r="AM3" s="436"/>
      <c r="AN3" s="436" t="str">
        <f t="shared" si="0"/>
        <v>Территория действия тарифа</v>
      </c>
      <c r="AO3" s="436"/>
      <c r="AP3" s="436"/>
      <c r="AQ3" s="1081">
        <v>0</v>
      </c>
    </row>
    <row r="4" spans="1:43" ht="23.25" hidden="1" customHeight="1">
      <c r="A4" s="1289"/>
      <c r="B4" s="1289"/>
      <c r="C4" s="1289"/>
      <c r="D4" s="1289"/>
      <c r="E4" s="5382"/>
      <c r="F4" s="5382"/>
      <c r="G4" s="5381">
        <v>1</v>
      </c>
      <c r="H4" s="1289"/>
      <c r="I4" s="1289"/>
      <c r="J4" s="1289"/>
      <c r="K4" s="1289"/>
      <c r="L4" s="1290"/>
      <c r="M4" s="1291"/>
      <c r="N4" s="1291"/>
      <c r="O4" s="1291"/>
      <c r="P4" s="290"/>
      <c r="Q4" s="288"/>
      <c r="R4" s="289"/>
      <c r="S4" s="1351" t="e">
        <f>INDEX(PT_DIFFERENTIATION_NUM_CS,MATCH(C4,PT_DIFFERENTIATION_CS_ID,0))</f>
        <v>#N/A</v>
      </c>
      <c r="T4" s="246" t="s">
        <v>513</v>
      </c>
      <c r="U4" s="237"/>
      <c r="V4" s="5373"/>
      <c r="W4" s="5374"/>
      <c r="X4" s="5374"/>
      <c r="Y4" s="5374"/>
      <c r="Z4" s="5374"/>
      <c r="AA4" s="5374"/>
      <c r="AB4" s="5375"/>
      <c r="AC4" s="5373" t="e">
        <f>INDEX(PT_DIFFERENTIATION_CS,MATCH(C4,PT_DIFFERENTIATION_CS_ID,0))</f>
        <v>#N/A</v>
      </c>
      <c r="AD4" s="5374"/>
      <c r="AE4" s="5374"/>
      <c r="AF4" s="5374"/>
      <c r="AG4" s="5374"/>
      <c r="AH4" s="5374"/>
      <c r="AI4" s="5374"/>
      <c r="AJ4" s="5375"/>
      <c r="AK4" s="1184" t="s">
        <v>514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5382"/>
      <c r="F5" s="5382"/>
      <c r="G5" s="5382"/>
      <c r="H5" s="5382"/>
      <c r="I5" s="5383" t="e">
        <f>S4&amp;".1"</f>
        <v>#N/A</v>
      </c>
      <c r="J5" s="1289"/>
      <c r="K5" s="1289"/>
      <c r="L5" s="1290"/>
      <c r="P5" s="5385">
        <v>1</v>
      </c>
      <c r="Q5" s="1348"/>
      <c r="R5" s="292"/>
      <c r="S5" s="1351" t="e">
        <f>$I5</f>
        <v>#N/A</v>
      </c>
      <c r="T5" s="222" t="s">
        <v>515</v>
      </c>
      <c r="U5" s="237"/>
      <c r="V5" s="5459"/>
      <c r="W5" s="5460"/>
      <c r="X5" s="5460"/>
      <c r="Y5" s="5460"/>
      <c r="Z5" s="5460"/>
      <c r="AA5" s="5460"/>
      <c r="AB5" s="5461"/>
      <c r="AC5" s="5462"/>
      <c r="AD5" s="5463"/>
      <c r="AE5" s="5463"/>
      <c r="AF5" s="5463"/>
      <c r="AG5" s="5463"/>
      <c r="AH5" s="5463"/>
      <c r="AI5" s="5463"/>
      <c r="AJ5" s="5464"/>
      <c r="AK5" s="1184" t="s">
        <v>516</v>
      </c>
      <c r="AM5" s="436"/>
      <c r="AN5" s="436" t="str">
        <f t="shared" si="0"/>
        <v>Наименование признака дифференциации</v>
      </c>
      <c r="AO5" s="436"/>
      <c r="AP5" s="436"/>
      <c r="AQ5" s="1081">
        <v>0</v>
      </c>
    </row>
    <row r="6" spans="1:43" ht="23.25" hidden="1" customHeight="1">
      <c r="A6" s="1289"/>
      <c r="B6" s="1289"/>
      <c r="C6" s="1289"/>
      <c r="D6" s="1289"/>
      <c r="E6" s="5382"/>
      <c r="F6" s="5382"/>
      <c r="G6" s="5382"/>
      <c r="H6" s="5382"/>
      <c r="I6" s="5384"/>
      <c r="J6" s="5383" t="e">
        <f>I5&amp;".1"</f>
        <v>#N/A</v>
      </c>
      <c r="K6" s="1289"/>
      <c r="L6" s="1290" t="s">
        <v>433</v>
      </c>
      <c r="P6" s="5385"/>
      <c r="Q6" s="5385">
        <v>1</v>
      </c>
      <c r="R6" s="293"/>
      <c r="S6" s="1351" t="e">
        <f>$J6</f>
        <v>#N/A</v>
      </c>
      <c r="T6" s="223" t="s">
        <v>434</v>
      </c>
      <c r="U6" s="237"/>
      <c r="V6" s="5366"/>
      <c r="W6" s="5367"/>
      <c r="X6" s="5367"/>
      <c r="Y6" s="5367"/>
      <c r="Z6" s="5367"/>
      <c r="AA6" s="5367"/>
      <c r="AB6" s="5368"/>
      <c r="AC6" s="5366"/>
      <c r="AD6" s="5367"/>
      <c r="AE6" s="5367"/>
      <c r="AF6" s="5367"/>
      <c r="AG6" s="5367"/>
      <c r="AH6" s="5367"/>
      <c r="AI6" s="5367"/>
      <c r="AJ6" s="5368"/>
      <c r="AK6" s="1233" t="s">
        <v>517</v>
      </c>
      <c r="AM6" s="436"/>
      <c r="AN6" s="436" t="str">
        <f t="shared" si="0"/>
        <v>Группа потребителей</v>
      </c>
      <c r="AO6" s="436"/>
      <c r="AP6" s="436"/>
      <c r="AQ6" s="1081">
        <v>0</v>
      </c>
    </row>
    <row r="7" spans="1:43" ht="23.25" hidden="1" customHeight="1">
      <c r="A7" s="1289"/>
      <c r="B7" s="1289"/>
      <c r="C7" s="1289"/>
      <c r="D7" s="1289"/>
      <c r="E7" s="5382"/>
      <c r="F7" s="5382"/>
      <c r="G7" s="5382"/>
      <c r="H7" s="5382"/>
      <c r="I7" s="5384"/>
      <c r="J7" s="5384"/>
      <c r="K7" s="5383" t="e">
        <f>J6&amp;".1"</f>
        <v>#N/A</v>
      </c>
      <c r="L7" s="1290"/>
      <c r="P7" s="5385"/>
      <c r="Q7" s="5385"/>
      <c r="R7" s="293">
        <v>1</v>
      </c>
      <c r="S7" s="1351" t="e">
        <f>$K7</f>
        <v>#N/A</v>
      </c>
      <c r="T7" s="1363"/>
      <c r="U7" s="237"/>
      <c r="V7" s="687"/>
      <c r="W7" s="687"/>
      <c r="X7" s="1183"/>
      <c r="Y7" s="5386"/>
      <c r="Z7" s="5245" t="s">
        <v>65</v>
      </c>
      <c r="AA7" s="5386"/>
      <c r="AB7" s="5245" t="s">
        <v>65</v>
      </c>
      <c r="AC7" s="687"/>
      <c r="AD7" s="687"/>
      <c r="AE7" s="1183"/>
      <c r="AF7" s="5386"/>
      <c r="AG7" s="5245" t="s">
        <v>65</v>
      </c>
      <c r="AH7" s="5388"/>
      <c r="AI7" s="5245" t="s">
        <v>65</v>
      </c>
      <c r="AJ7" s="1364"/>
      <c r="AK7"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5382"/>
      <c r="F8" s="5382"/>
      <c r="G8" s="5382"/>
      <c r="H8" s="5382"/>
      <c r="I8" s="5384"/>
      <c r="J8" s="5384"/>
      <c r="K8" s="5383"/>
      <c r="L8" s="1290"/>
      <c r="P8" s="5385"/>
      <c r="Q8" s="5385"/>
      <c r="R8" s="293"/>
      <c r="S8" s="1350"/>
      <c r="T8" s="237"/>
      <c r="U8" s="237"/>
      <c r="V8" s="262"/>
      <c r="W8" s="262"/>
      <c r="X8" s="265" t="str">
        <f>Y7&amp;"-"&amp;AA7</f>
        <v>-</v>
      </c>
      <c r="Y8" s="5387"/>
      <c r="Z8" s="5245"/>
      <c r="AA8" s="5387"/>
      <c r="AB8" s="5245"/>
      <c r="AC8" s="262"/>
      <c r="AD8" s="262"/>
      <c r="AE8" s="265" t="str">
        <f>AF7&amp;"-"&amp;AH7</f>
        <v>-</v>
      </c>
      <c r="AF8" s="5387"/>
      <c r="AG8" s="5245"/>
      <c r="AH8" s="5389"/>
      <c r="AI8" s="5245"/>
      <c r="AJ8" s="1365"/>
      <c r="AK8" s="5465"/>
      <c r="AM8" s="436"/>
      <c r="AN8" s="436" t="str">
        <f t="shared" si="0"/>
        <v/>
      </c>
      <c r="AO8" s="436"/>
      <c r="AP8" s="436"/>
      <c r="AQ8" s="1081">
        <v>0</v>
      </c>
    </row>
    <row r="9" spans="1:43" ht="21" hidden="1" customHeight="1">
      <c r="A9" s="1289"/>
      <c r="B9" s="1289"/>
      <c r="C9" s="1289"/>
      <c r="D9" s="1289"/>
      <c r="E9" s="5382"/>
      <c r="F9" s="5382"/>
      <c r="G9" s="5382"/>
      <c r="H9" s="5382"/>
      <c r="I9" s="5384"/>
      <c r="J9" s="5383"/>
      <c r="K9" s="1289"/>
      <c r="L9" s="1290"/>
      <c r="P9" s="5385"/>
      <c r="Q9" s="5385"/>
      <c r="R9" s="292"/>
      <c r="S9" s="1204"/>
      <c r="T9" s="224" t="s">
        <v>518</v>
      </c>
      <c r="U9" s="303"/>
      <c r="V9" s="303"/>
      <c r="W9" s="303"/>
      <c r="X9" s="303"/>
      <c r="Y9" s="303"/>
      <c r="Z9" s="303"/>
      <c r="AA9" s="303"/>
      <c r="AB9" s="303"/>
      <c r="AC9" s="303"/>
      <c r="AD9" s="303"/>
      <c r="AE9" s="303"/>
      <c r="AF9" s="303"/>
      <c r="AG9" s="303"/>
      <c r="AH9" s="303"/>
      <c r="AI9" s="303"/>
      <c r="AJ9" s="303"/>
      <c r="AK9" s="1184" t="s">
        <v>519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5382"/>
      <c r="F10" s="5382"/>
      <c r="G10" s="5382"/>
      <c r="H10" s="5382"/>
      <c r="I10" s="5383"/>
      <c r="J10" s="1289"/>
      <c r="K10" s="1289"/>
      <c r="L10" s="1290"/>
      <c r="P10" s="5385"/>
      <c r="Q10" s="1348"/>
      <c r="R10" s="292"/>
      <c r="S10" s="1204"/>
      <c r="T10" s="301" t="s">
        <v>439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5382"/>
      <c r="F11" s="5382"/>
      <c r="G11" s="5382"/>
      <c r="H11" s="5381"/>
      <c r="I11" s="1289"/>
      <c r="J11" s="1289"/>
      <c r="K11" s="1289"/>
      <c r="L11" s="1290"/>
      <c r="M11" s="1291"/>
      <c r="N11" s="1291"/>
      <c r="O11" s="473"/>
      <c r="P11" s="296"/>
      <c r="Q11" s="311"/>
      <c r="R11" s="291"/>
      <c r="S11" s="1204"/>
      <c r="T11" s="308" t="s">
        <v>520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5382"/>
      <c r="F12" s="5381"/>
      <c r="G12" s="1240"/>
      <c r="H12" s="1240"/>
      <c r="I12" s="1240"/>
      <c r="J12" s="1240"/>
      <c r="K12" s="1240"/>
      <c r="L12" s="1352"/>
      <c r="M12" s="1247"/>
      <c r="N12" s="1247"/>
      <c r="P12" s="1242"/>
      <c r="Q12" s="1243"/>
      <c r="R12" s="1242"/>
      <c r="S12" s="1248"/>
      <c r="T12" s="1251" t="s">
        <v>164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5381"/>
      <c r="F13" s="1269"/>
      <c r="G13" s="1269"/>
      <c r="H13" s="1269"/>
      <c r="I13" s="1269"/>
      <c r="J13" s="1269"/>
      <c r="K13" s="1269"/>
      <c r="L13" s="1272"/>
      <c r="M13" s="1247"/>
      <c r="N13" s="1247"/>
      <c r="O13" s="454"/>
      <c r="P13" s="316"/>
      <c r="Q13" s="1270"/>
      <c r="R13" s="316"/>
      <c r="S13" s="1248"/>
      <c r="T13" s="1251" t="s">
        <v>165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5378"/>
      <c r="AG15" s="5377" t="s">
        <v>65</v>
      </c>
      <c r="AH15" s="5378"/>
      <c r="AI15" s="5377" t="s">
        <v>65</v>
      </c>
      <c r="AQ15" s="1081">
        <v>0</v>
      </c>
    </row>
    <row r="16" spans="1:43" ht="14.25" hidden="1" customHeight="1">
      <c r="AC16" s="1286"/>
      <c r="AD16" s="1286"/>
      <c r="AE16" s="265" t="str">
        <f>AF15&amp;"-"&amp;AH15</f>
        <v>-</v>
      </c>
      <c r="AF16" s="5377"/>
      <c r="AG16" s="5377"/>
      <c r="AH16" s="5377"/>
      <c r="AI16" s="5377"/>
      <c r="AQ16" s="1081">
        <v>0</v>
      </c>
    </row>
    <row r="17" spans="1:43" ht="14.25" hidden="1" customHeight="1">
      <c r="AI17" s="264"/>
      <c r="AQ17" s="1081">
        <v>0</v>
      </c>
    </row>
    <row r="18" spans="1:43" s="1292" customFormat="1" ht="22.5" hidden="1" customHeight="1">
      <c r="L18" s="1347"/>
      <c r="M18" s="1288"/>
      <c r="N18" s="1288"/>
      <c r="O18" s="1293" t="s">
        <v>441</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442</v>
      </c>
      <c r="P20" s="1288"/>
      <c r="Q20" s="1368"/>
      <c r="R20" s="1368"/>
      <c r="S20" s="665"/>
      <c r="T20" s="1086" t="s">
        <v>443</v>
      </c>
      <c r="Z20" s="124" t="s">
        <v>444</v>
      </c>
      <c r="AB20" s="124" t="s">
        <v>445</v>
      </c>
      <c r="AC20" s="1086" t="s">
        <v>443</v>
      </c>
      <c r="AG20" s="124" t="s">
        <v>446</v>
      </c>
      <c r="AI20" s="124" t="s">
        <v>445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535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359"/>
      <c r="U24" s="5359"/>
      <c r="V24" s="5359"/>
      <c r="W24" s="5359"/>
      <c r="X24" s="5359"/>
      <c r="Y24" s="5359"/>
      <c r="Z24" s="5359"/>
      <c r="AA24" s="5359"/>
      <c r="AB24" s="5359"/>
      <c r="AC24" s="5359"/>
      <c r="AD24" s="5359"/>
      <c r="AE24" s="5359"/>
      <c r="AF24" s="5359"/>
      <c r="AG24" s="5359"/>
      <c r="AH24" s="5359"/>
      <c r="AI24" s="1169"/>
      <c r="AQ24" s="1081">
        <v>14</v>
      </c>
    </row>
    <row r="25" spans="1:43" ht="14.65" customHeight="1">
      <c r="Q25" s="312"/>
      <c r="R25" s="312"/>
      <c r="S25" s="5331" t="str">
        <f>IF(org=0,"Не определено",org)</f>
        <v>ПАО "ТГК-1" филиал "Невский"</v>
      </c>
      <c r="T25" s="5331"/>
      <c r="U25" s="5331"/>
      <c r="V25" s="5331"/>
      <c r="W25" s="5331"/>
      <c r="X25" s="5331"/>
      <c r="Y25" s="5331"/>
      <c r="Z25" s="5331"/>
      <c r="AA25" s="5331"/>
      <c r="AB25" s="5331"/>
      <c r="AC25" s="5331"/>
      <c r="AD25" s="5331"/>
      <c r="AE25" s="5331"/>
      <c r="AF25" s="5331"/>
      <c r="AG25" s="5331"/>
      <c r="AH25" s="5331"/>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5370" t="s">
        <v>42</v>
      </c>
      <c r="T27" s="5370"/>
      <c r="U27" s="1298"/>
      <c r="V27" s="5372" t="str">
        <f>IF(TITLE_NAME_OR_PR_CHANGE="",IF(TITLE_NAME_OR_PR="","",TITLE_NAME_OR_PR),TITLE_NAME_OR_PR_CHANGE)</f>
        <v>Комитет по тарифам Санкт-Петербурга</v>
      </c>
      <c r="W27" s="5372"/>
      <c r="X27" s="5372"/>
      <c r="Y27" s="5372"/>
      <c r="Z27" s="5372"/>
      <c r="AA27" s="5372"/>
      <c r="AB27" s="263"/>
      <c r="AC27" s="5372" t="str">
        <f>IF(TITLE_NAME_OR_PR_CHANGE="",IF(TITLE_NAME_OR_PR="","",TITLE_NAME_OR_PR),TITLE_NAME_OR_PR_CHANGE)</f>
        <v>Комитет по тарифам Санкт-Петербурга</v>
      </c>
      <c r="AD27" s="5372"/>
      <c r="AE27" s="5372"/>
      <c r="AF27" s="5372"/>
      <c r="AG27" s="5372"/>
      <c r="AH27" s="5372"/>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5370" t="s">
        <v>447</v>
      </c>
      <c r="T28" s="5370"/>
      <c r="U28" s="1298"/>
      <c r="V28" s="5371">
        <f>IF(TITLE_DATE_PR_CHANGE="",IF(TITLE_DATE_PR="","",TITLE_DATE_PR),TITLE_DATE_PR_CHANGE)</f>
        <v>45470</v>
      </c>
      <c r="W28" s="5371"/>
      <c r="X28" s="5371"/>
      <c r="Y28" s="5371"/>
      <c r="Z28" s="5371"/>
      <c r="AA28" s="5371"/>
      <c r="AB28" s="263"/>
      <c r="AC28" s="5371">
        <f>IF(TITLE_DATE_PR_CHANGE="",IF(TITLE_DATE_PR="","",TITLE_DATE_PR),TITLE_DATE_PR_CHANGE)</f>
        <v>45470</v>
      </c>
      <c r="AD28" s="5371"/>
      <c r="AE28" s="5371"/>
      <c r="AF28" s="5371"/>
      <c r="AG28" s="5371"/>
      <c r="AH28" s="5371"/>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5370" t="s">
        <v>448</v>
      </c>
      <c r="T29" s="5370"/>
      <c r="U29" s="1298"/>
      <c r="V29" s="5372" t="str">
        <f>IF(TITLE_NUMBER_PR_CHANGE="",IF(TITLE_NUMBER_PR="","",TITLE_NUMBER_PR),TITLE_NUMBER_PR_CHANGE)</f>
        <v>94-р</v>
      </c>
      <c r="W29" s="5372"/>
      <c r="X29" s="5372"/>
      <c r="Y29" s="5372"/>
      <c r="Z29" s="5372"/>
      <c r="AA29" s="5372"/>
      <c r="AB29" s="263"/>
      <c r="AC29" s="5372" t="str">
        <f>IF(TITLE_NUMBER_PR_CHANGE="",IF(TITLE_NUMBER_PR="","",TITLE_NUMBER_PR),TITLE_NUMBER_PR_CHANGE)</f>
        <v>94-р</v>
      </c>
      <c r="AD29" s="5372"/>
      <c r="AE29" s="5372"/>
      <c r="AF29" s="5372"/>
      <c r="AG29" s="5372"/>
      <c r="AH29" s="5372"/>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5370" t="s">
        <v>44</v>
      </c>
      <c r="T30" s="5370"/>
      <c r="U30" s="1298"/>
      <c r="V30" s="5372" t="str">
        <f>IF(TITLE_IST_PUB_CHANGE="",IF(TITLE_IST_PUB="","",TITLE_IST_PUB),TITLE_IST_PUB_CHANGE)</f>
        <v>http://publication.pravo.gov.ru/document/7801202407010029</v>
      </c>
      <c r="W30" s="5372"/>
      <c r="X30" s="5372"/>
      <c r="Y30" s="5372"/>
      <c r="Z30" s="5372"/>
      <c r="AA30" s="5372"/>
      <c r="AB30" s="263"/>
      <c r="AC30" s="5372" t="str">
        <f>IF(TITLE_IST_PUB_CHANGE="",IF(TITLE_IST_PUB="","",TITLE_IST_PUB),TITLE_IST_PUB_CHANGE)</f>
        <v>http://publication.pravo.gov.ru/document/7801202407010029</v>
      </c>
      <c r="AD30" s="5372"/>
      <c r="AE30" s="5372"/>
      <c r="AF30" s="5372"/>
      <c r="AG30" s="5372"/>
      <c r="AH30" s="537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5370" t="s">
        <v>449</v>
      </c>
      <c r="T32" s="5370"/>
      <c r="U32" s="1298"/>
      <c r="V32" s="5371">
        <f>IF(TITLE_DATE_PR_CHANGE="",IF(TITLE_DATE_PR="","",TITLE_DATE_PR),TITLE_DATE_PR_CHANGE)</f>
        <v>45470</v>
      </c>
      <c r="W32" s="5371"/>
      <c r="X32" s="5371"/>
      <c r="Y32" s="5371"/>
      <c r="Z32" s="5371"/>
      <c r="AA32" s="5371"/>
      <c r="AB32" s="263"/>
      <c r="AC32" s="5371">
        <f>IF(TITLE_DATE_PR_CHANGE="",IF(TITLE_DATE_PR="","",TITLE_DATE_PR),TITLE_DATE_PR_CHANGE)</f>
        <v>45470</v>
      </c>
      <c r="AD32" s="5371"/>
      <c r="AE32" s="5371"/>
      <c r="AF32" s="5371"/>
      <c r="AG32" s="5371"/>
      <c r="AH32" s="5371"/>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5370" t="s">
        <v>450</v>
      </c>
      <c r="T33" s="5370"/>
      <c r="U33" s="1298"/>
      <c r="V33" s="5372" t="str">
        <f>IF(TITLE_NUMBER_PR_CHANGE="",IF(TITLE_NUMBER_PR="","",TITLE_NUMBER_PR),TITLE_NUMBER_PR_CHANGE)</f>
        <v>94-р</v>
      </c>
      <c r="W33" s="5372"/>
      <c r="X33" s="5372"/>
      <c r="Y33" s="5372"/>
      <c r="Z33" s="5372"/>
      <c r="AA33" s="5372"/>
      <c r="AB33" s="263"/>
      <c r="AC33" s="5372" t="str">
        <f>IF(TITLE_NUMBER_PR_CHANGE="",IF(TITLE_NUMBER_PR="","",TITLE_NUMBER_PR),TITLE_NUMBER_PR_CHANGE)</f>
        <v>94-р</v>
      </c>
      <c r="AD33" s="5372"/>
      <c r="AE33" s="5372"/>
      <c r="AF33" s="5372"/>
      <c r="AG33" s="5372"/>
      <c r="AH33" s="537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451</v>
      </c>
      <c r="AC34" s="263"/>
      <c r="AD34" s="263"/>
      <c r="AE34" s="263"/>
      <c r="AF34" s="263"/>
      <c r="AG34" s="263"/>
      <c r="AH34" s="263"/>
      <c r="AI34" s="215" t="s">
        <v>451</v>
      </c>
      <c r="AL34" s="304"/>
      <c r="AM34" s="304"/>
      <c r="AN34" s="304"/>
      <c r="AO34" s="304"/>
      <c r="AP34" s="304"/>
      <c r="AQ34" s="354">
        <v>1</v>
      </c>
    </row>
    <row r="35" spans="1:43" ht="14.65" customHeight="1">
      <c r="Q35" s="312"/>
      <c r="R35" s="312"/>
      <c r="S35" s="1201"/>
      <c r="T35" s="299"/>
      <c r="U35" s="1170"/>
      <c r="V35" s="5393"/>
      <c r="W35" s="5393"/>
      <c r="X35" s="5393"/>
      <c r="Y35" s="5393"/>
      <c r="Z35" s="5393"/>
      <c r="AA35" s="5393"/>
      <c r="AB35" s="5393"/>
      <c r="AC35" s="5393"/>
      <c r="AD35" s="5393"/>
      <c r="AE35" s="5393"/>
      <c r="AF35" s="5393"/>
      <c r="AG35" s="5393"/>
      <c r="AH35" s="5393"/>
      <c r="AI35" s="5393"/>
      <c r="AQ35" s="1081">
        <v>14</v>
      </c>
    </row>
    <row r="36" spans="1:43" ht="14.65" customHeight="1">
      <c r="Q36" s="312"/>
      <c r="R36" s="312"/>
      <c r="S36" s="5235" t="s">
        <v>327</v>
      </c>
      <c r="T36" s="5235"/>
      <c r="U36" s="5235"/>
      <c r="V36" s="5235"/>
      <c r="W36" s="5235"/>
      <c r="X36" s="5235"/>
      <c r="Y36" s="5235"/>
      <c r="Z36" s="5235"/>
      <c r="AA36" s="5235"/>
      <c r="AB36" s="5235"/>
      <c r="AC36" s="5235"/>
      <c r="AD36" s="5235"/>
      <c r="AE36" s="5235"/>
      <c r="AF36" s="5235"/>
      <c r="AG36" s="5235"/>
      <c r="AH36" s="5235"/>
      <c r="AI36" s="5235"/>
      <c r="AJ36" s="5235"/>
      <c r="AK36" s="5235" t="s">
        <v>328</v>
      </c>
      <c r="AQ36" s="1081">
        <v>14</v>
      </c>
    </row>
    <row r="37" spans="1:43" ht="14.65" customHeight="1">
      <c r="Q37" s="312"/>
      <c r="R37" s="312"/>
      <c r="S37" s="5395" t="s">
        <v>90</v>
      </c>
      <c r="T37" s="5339" t="s">
        <v>452</v>
      </c>
      <c r="U37" s="238"/>
      <c r="V37" s="5396" t="s">
        <v>453</v>
      </c>
      <c r="W37" s="5397"/>
      <c r="X37" s="5397"/>
      <c r="Y37" s="5397"/>
      <c r="Z37" s="5397"/>
      <c r="AA37" s="5398"/>
      <c r="AB37" s="5399" t="s">
        <v>454</v>
      </c>
      <c r="AC37" s="5396" t="s">
        <v>453</v>
      </c>
      <c r="AD37" s="5397"/>
      <c r="AE37" s="5397"/>
      <c r="AF37" s="5397"/>
      <c r="AG37" s="5397"/>
      <c r="AH37" s="5398"/>
      <c r="AI37" s="5399" t="s">
        <v>455</v>
      </c>
      <c r="AJ37" s="5402" t="s">
        <v>456</v>
      </c>
      <c r="AK37" s="5235"/>
      <c r="AQ37" s="1081">
        <v>14</v>
      </c>
    </row>
    <row r="38" spans="1:43" ht="35.65" customHeight="1">
      <c r="Q38" s="312"/>
      <c r="R38" s="312"/>
      <c r="S38" s="5395"/>
      <c r="T38" s="5339"/>
      <c r="U38" s="960"/>
      <c r="V38" s="1278" t="s">
        <v>521</v>
      </c>
      <c r="W38" s="5217" t="s">
        <v>459</v>
      </c>
      <c r="X38" s="5216"/>
      <c r="Y38" s="5217" t="s">
        <v>460</v>
      </c>
      <c r="Z38" s="5222"/>
      <c r="AA38" s="5216"/>
      <c r="AB38" s="5400"/>
      <c r="AC38" s="1278" t="s">
        <v>521</v>
      </c>
      <c r="AD38" s="5217" t="s">
        <v>459</v>
      </c>
      <c r="AE38" s="5216"/>
      <c r="AF38" s="5217" t="s">
        <v>460</v>
      </c>
      <c r="AG38" s="5222"/>
      <c r="AH38" s="5216"/>
      <c r="AI38" s="5400"/>
      <c r="AJ38" s="5403"/>
      <c r="AK38" s="5235"/>
      <c r="AQ38" s="1081">
        <v>34</v>
      </c>
    </row>
    <row r="39" spans="1:43" ht="35.65" customHeight="1">
      <c r="A39" s="1296"/>
      <c r="B39" s="1296" t="s">
        <v>137</v>
      </c>
      <c r="C39" s="1296" t="s">
        <v>138</v>
      </c>
      <c r="D39" s="1296" t="s">
        <v>139</v>
      </c>
      <c r="E39" s="1290" t="s">
        <v>461</v>
      </c>
      <c r="F39" s="1290" t="s">
        <v>462</v>
      </c>
      <c r="G39" s="1290" t="s">
        <v>463</v>
      </c>
      <c r="H39" s="1290"/>
      <c r="I39" s="1290" t="s">
        <v>522</v>
      </c>
      <c r="J39" s="1290" t="s">
        <v>466</v>
      </c>
      <c r="K39" s="1290" t="s">
        <v>523</v>
      </c>
      <c r="L39" s="1290" t="s">
        <v>442</v>
      </c>
      <c r="Q39" s="312"/>
      <c r="R39" s="312"/>
      <c r="S39" s="5395"/>
      <c r="T39" s="5339"/>
      <c r="U39" s="239"/>
      <c r="V39" s="1278" t="s">
        <v>524</v>
      </c>
      <c r="W39" s="1148" t="s">
        <v>525</v>
      </c>
      <c r="X39" s="1148" t="s">
        <v>526</v>
      </c>
      <c r="Y39" s="1283" t="s">
        <v>470</v>
      </c>
      <c r="Z39" s="5344" t="s">
        <v>471</v>
      </c>
      <c r="AA39" s="5358"/>
      <c r="AB39" s="5401"/>
      <c r="AC39" s="1278" t="s">
        <v>524</v>
      </c>
      <c r="AD39" s="1148" t="s">
        <v>525</v>
      </c>
      <c r="AE39" s="1148" t="s">
        <v>526</v>
      </c>
      <c r="AF39" s="1283" t="s">
        <v>470</v>
      </c>
      <c r="AG39" s="5344" t="s">
        <v>471</v>
      </c>
      <c r="AH39" s="5358"/>
      <c r="AI39" s="5401"/>
      <c r="AJ39" s="5404"/>
      <c r="AK39" s="5235"/>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279">
        <f ca="1">OFFSET(V40,0,-1)+1</f>
        <v>3</v>
      </c>
      <c r="W40" s="1279">
        <f ca="1">OFFSET(W40,0,-1)+1</f>
        <v>4</v>
      </c>
      <c r="X40" s="1279">
        <f ca="1">OFFSET(X40,0,-1)+1</f>
        <v>5</v>
      </c>
      <c r="Y40" s="1279">
        <f ca="1">OFFSET(Y40,0,-1)+1</f>
        <v>6</v>
      </c>
      <c r="Z40" s="5392">
        <f ca="1">OFFSET(Z40,0,-1)+1</f>
        <v>7</v>
      </c>
      <c r="AA40" s="5392"/>
      <c r="AB40" s="1279">
        <f ca="1">OFFSET(AB40,0,-2)+1</f>
        <v>8</v>
      </c>
      <c r="AC40" s="1279">
        <f ca="1">OFFSET(AC40,0,-1)+1</f>
        <v>9</v>
      </c>
      <c r="AD40" s="1279">
        <f ca="1">OFFSET(AD40,0,-1)+1</f>
        <v>10</v>
      </c>
      <c r="AE40" s="1279">
        <f ca="1">OFFSET(AE40,0,-1)+1</f>
        <v>11</v>
      </c>
      <c r="AF40" s="1279">
        <f ca="1">OFFSET(AF40,0,-1)+1</f>
        <v>12</v>
      </c>
      <c r="AG40" s="5392">
        <f ca="1">OFFSET(AG40,0,-1)+1</f>
        <v>13</v>
      </c>
      <c r="AH40" s="5392"/>
      <c r="AI40" s="1279">
        <f ca="1">OFFSET(AI40,0,-2)+1</f>
        <v>14</v>
      </c>
      <c r="AJ40" s="1171">
        <f ca="1">OFFSET(AJ40,0,-1)</f>
        <v>14</v>
      </c>
      <c r="AK40" s="1279">
        <f ca="1">OFFSET(AK40,0,-1)+1</f>
        <v>15</v>
      </c>
      <c r="AL40" s="447"/>
      <c r="AM40" s="447"/>
      <c r="AN40" s="447"/>
      <c r="AO40" s="447"/>
      <c r="AP40" s="447"/>
      <c r="AQ40" s="432">
        <v>0</v>
      </c>
    </row>
    <row r="41" spans="1:43" ht="24" customHeight="1">
      <c r="A41" s="1289" t="s">
        <v>253</v>
      </c>
      <c r="B41" s="1289"/>
      <c r="C41" s="1289"/>
      <c r="D41" s="1289"/>
      <c r="E41" s="5381">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5373"/>
      <c r="W41" s="5374"/>
      <c r="X41" s="5374"/>
      <c r="Y41" s="5374"/>
      <c r="Z41" s="5374"/>
      <c r="AA41" s="5374"/>
      <c r="AB41" s="5375"/>
      <c r="AC41" s="5373" t="str">
        <f>INDEX(PT_DIFFERENTIATION_NTAR,MATCH(A41,PT_DIFFERENTIATION_NTAR_ID,0))</f>
        <v/>
      </c>
      <c r="AD41" s="5374"/>
      <c r="AE41" s="5374"/>
      <c r="AF41" s="5374"/>
      <c r="AG41" s="5374"/>
      <c r="AH41" s="5374"/>
      <c r="AI41" s="5374"/>
      <c r="AJ41" s="53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253</v>
      </c>
      <c r="B42" s="1289" t="s">
        <v>254</v>
      </c>
      <c r="C42" s="1289"/>
      <c r="D42" s="1289"/>
      <c r="E42" s="5382"/>
      <c r="F42" s="5381">
        <v>1</v>
      </c>
      <c r="G42" s="1289"/>
      <c r="H42" s="1289"/>
      <c r="I42" s="1289"/>
      <c r="J42" s="1289"/>
      <c r="K42" s="1289"/>
      <c r="L42" s="1290"/>
      <c r="M42" s="1291"/>
      <c r="N42" s="1291"/>
      <c r="O42" s="1291"/>
      <c r="P42" s="1282"/>
      <c r="Q42" s="288"/>
      <c r="R42" s="289"/>
      <c r="S42" s="1284" t="str">
        <f>INDEX(PT_DIFFERENTIATION_NUM_TER,MATCH(B42,PT_DIFFERENTIATION_TER_ID,0))</f>
        <v>.</v>
      </c>
      <c r="T42" s="245" t="s">
        <v>424</v>
      </c>
      <c r="U42" s="237"/>
      <c r="V42" s="5373"/>
      <c r="W42" s="5374"/>
      <c r="X42" s="5374"/>
      <c r="Y42" s="5374"/>
      <c r="Z42" s="5374"/>
      <c r="AA42" s="5374"/>
      <c r="AB42" s="5375"/>
      <c r="AC42" s="5373" t="str">
        <f>INDEX(PT_DIFFERENTIATION_TER,MATCH(B42,PT_DIFFERENTIATION_TER_ID,0))</f>
        <v/>
      </c>
      <c r="AD42" s="5374"/>
      <c r="AE42" s="5374"/>
      <c r="AF42" s="5374"/>
      <c r="AG42" s="5374"/>
      <c r="AH42" s="5374"/>
      <c r="AI42" s="5374"/>
      <c r="AJ42" s="5375"/>
      <c r="AK42" s="1184" t="s">
        <v>425</v>
      </c>
      <c r="AM42" s="436"/>
      <c r="AN42" s="436" t="str">
        <f t="shared" si="1"/>
        <v>Территория действия тарифа</v>
      </c>
      <c r="AO42" s="436"/>
      <c r="AP42" s="436"/>
      <c r="AQ42" s="1081">
        <v>23</v>
      </c>
    </row>
    <row r="43" spans="1:43" ht="24" customHeight="1">
      <c r="A43" s="1289" t="s">
        <v>253</v>
      </c>
      <c r="B43" s="1289" t="s">
        <v>254</v>
      </c>
      <c r="C43" s="1289" t="s">
        <v>255</v>
      </c>
      <c r="D43" s="1289"/>
      <c r="E43" s="5382"/>
      <c r="F43" s="5382"/>
      <c r="G43" s="5381">
        <v>1</v>
      </c>
      <c r="H43" s="1289"/>
      <c r="I43" s="1289"/>
      <c r="J43" s="1289"/>
      <c r="K43" s="1289"/>
      <c r="L43" s="1290"/>
      <c r="M43" s="1291"/>
      <c r="N43" s="1291"/>
      <c r="O43" s="1291"/>
      <c r="P43" s="290"/>
      <c r="Q43" s="288"/>
      <c r="R43" s="289"/>
      <c r="S43" s="1284" t="str">
        <f>INDEX(PT_DIFFERENTIATION_NUM_CS,MATCH(C43,PT_DIFFERENTIATION_CS_ID,0))</f>
        <v>..</v>
      </c>
      <c r="T43" s="246" t="s">
        <v>513</v>
      </c>
      <c r="U43" s="237"/>
      <c r="V43" s="5373"/>
      <c r="W43" s="5374"/>
      <c r="X43" s="5374"/>
      <c r="Y43" s="5374"/>
      <c r="Z43" s="5374"/>
      <c r="AA43" s="5374"/>
      <c r="AB43" s="5375"/>
      <c r="AC43" s="5373" t="str">
        <f>INDEX(PT_DIFFERENTIATION_CS,MATCH(C43,PT_DIFFERENTIATION_CS_ID,0))</f>
        <v/>
      </c>
      <c r="AD43" s="5374"/>
      <c r="AE43" s="5374"/>
      <c r="AF43" s="5374"/>
      <c r="AG43" s="5374"/>
      <c r="AH43" s="5374"/>
      <c r="AI43" s="5374"/>
      <c r="AJ43" s="5375"/>
      <c r="AK43" s="1184" t="s">
        <v>514</v>
      </c>
      <c r="AM43" s="436"/>
      <c r="AN43" s="436" t="str">
        <f t="shared" si="1"/>
        <v>Наименование централизованной системы холодного водоснабжения</v>
      </c>
      <c r="AO43" s="436"/>
      <c r="AP43" s="436"/>
      <c r="AQ43" s="1081">
        <v>23</v>
      </c>
    </row>
    <row r="44" spans="1:43" ht="24" customHeight="1">
      <c r="A44" s="1289" t="s">
        <v>253</v>
      </c>
      <c r="B44" s="1289" t="s">
        <v>254</v>
      </c>
      <c r="C44" s="1289" t="s">
        <v>255</v>
      </c>
      <c r="D44" s="1289" t="s">
        <v>527</v>
      </c>
      <c r="E44" s="5382"/>
      <c r="F44" s="5382"/>
      <c r="G44" s="5382"/>
      <c r="H44" s="5382"/>
      <c r="I44" s="5383" t="str">
        <f>S43&amp;".1"</f>
        <v>...1</v>
      </c>
      <c r="J44" s="1289"/>
      <c r="K44" s="1289"/>
      <c r="L44" s="1290"/>
      <c r="P44" s="5385">
        <v>1</v>
      </c>
      <c r="Q44" s="1280"/>
      <c r="R44" s="292"/>
      <c r="S44" s="1284" t="str">
        <f>$I44</f>
        <v>...1</v>
      </c>
      <c r="T44" s="222" t="s">
        <v>515</v>
      </c>
      <c r="U44" s="237"/>
      <c r="V44" s="5459"/>
      <c r="W44" s="5460"/>
      <c r="X44" s="5460"/>
      <c r="Y44" s="5460"/>
      <c r="Z44" s="5460"/>
      <c r="AA44" s="5460"/>
      <c r="AB44" s="5461"/>
      <c r="AC44" s="5462"/>
      <c r="AD44" s="5463"/>
      <c r="AE44" s="5463"/>
      <c r="AF44" s="5463"/>
      <c r="AG44" s="5463"/>
      <c r="AH44" s="5463"/>
      <c r="AI44" s="5463"/>
      <c r="AJ44" s="5464"/>
      <c r="AK44" s="1184" t="s">
        <v>516</v>
      </c>
      <c r="AM44" s="436"/>
      <c r="AN44" s="436" t="str">
        <f t="shared" si="1"/>
        <v>Наименование признака дифференциации</v>
      </c>
      <c r="AO44" s="436"/>
      <c r="AP44" s="436"/>
      <c r="AQ44" s="1081">
        <v>23</v>
      </c>
    </row>
    <row r="45" spans="1:43" ht="24" customHeight="1">
      <c r="A45" s="1289" t="s">
        <v>253</v>
      </c>
      <c r="B45" s="1289" t="s">
        <v>254</v>
      </c>
      <c r="C45" s="1289" t="s">
        <v>255</v>
      </c>
      <c r="D45" s="1289" t="s">
        <v>527</v>
      </c>
      <c r="E45" s="5382"/>
      <c r="F45" s="5382"/>
      <c r="G45" s="5382"/>
      <c r="H45" s="5382"/>
      <c r="I45" s="5384"/>
      <c r="J45" s="5383" t="str">
        <f>I44&amp;".1"</f>
        <v>...1.1</v>
      </c>
      <c r="K45" s="1289"/>
      <c r="L45" s="1290" t="s">
        <v>433</v>
      </c>
      <c r="P45" s="5385"/>
      <c r="Q45" s="5385">
        <v>1</v>
      </c>
      <c r="R45" s="293"/>
      <c r="S45" s="1284" t="str">
        <f>$J45</f>
        <v>...1.1</v>
      </c>
      <c r="T45" s="223" t="s">
        <v>434</v>
      </c>
      <c r="U45" s="237"/>
      <c r="V45" s="5366"/>
      <c r="W45" s="5367"/>
      <c r="X45" s="5367"/>
      <c r="Y45" s="5367"/>
      <c r="Z45" s="5367"/>
      <c r="AA45" s="5367"/>
      <c r="AB45" s="5368"/>
      <c r="AC45" s="5366"/>
      <c r="AD45" s="5367"/>
      <c r="AE45" s="5367"/>
      <c r="AF45" s="5367"/>
      <c r="AG45" s="5367"/>
      <c r="AH45" s="5367"/>
      <c r="AI45" s="5367"/>
      <c r="AJ45" s="5368"/>
      <c r="AK45" s="1233" t="s">
        <v>517</v>
      </c>
      <c r="AM45" s="436"/>
      <c r="AN45" s="436" t="str">
        <f t="shared" si="1"/>
        <v>Группа потребителей</v>
      </c>
      <c r="AO45" s="436"/>
      <c r="AP45" s="436"/>
      <c r="AQ45" s="1081">
        <v>23</v>
      </c>
    </row>
    <row r="46" spans="1:43" ht="24" customHeight="1">
      <c r="A46" s="1289" t="s">
        <v>253</v>
      </c>
      <c r="B46" s="1289" t="s">
        <v>254</v>
      </c>
      <c r="C46" s="1289" t="s">
        <v>255</v>
      </c>
      <c r="D46" s="1289" t="s">
        <v>527</v>
      </c>
      <c r="E46" s="5382"/>
      <c r="F46" s="5382"/>
      <c r="G46" s="5382"/>
      <c r="H46" s="5382"/>
      <c r="I46" s="5384"/>
      <c r="J46" s="5384"/>
      <c r="K46" s="5383" t="str">
        <f>J45&amp;".1"</f>
        <v>...1.1.1</v>
      </c>
      <c r="L46" s="1290"/>
      <c r="P46" s="5385"/>
      <c r="Q46" s="5385"/>
      <c r="R46" s="293">
        <v>1</v>
      </c>
      <c r="S46" s="1284" t="str">
        <f>$K46</f>
        <v>...1.1.1</v>
      </c>
      <c r="T46" s="1363"/>
      <c r="U46" s="237"/>
      <c r="V46" s="1286"/>
      <c r="W46" s="1286"/>
      <c r="X46" s="1287"/>
      <c r="Y46" s="5378"/>
      <c r="Z46" s="5377" t="s">
        <v>65</v>
      </c>
      <c r="AA46" s="5378"/>
      <c r="AB46" s="5377" t="s">
        <v>65</v>
      </c>
      <c r="AC46" s="687"/>
      <c r="AD46" s="687"/>
      <c r="AE46" s="1183"/>
      <c r="AF46" s="5386"/>
      <c r="AG46" s="5245" t="s">
        <v>65</v>
      </c>
      <c r="AH46" s="5388"/>
      <c r="AI46" s="5245" t="s">
        <v>19</v>
      </c>
      <c r="AJ46" s="1364"/>
      <c r="AK46"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253</v>
      </c>
      <c r="B47" s="1289" t="s">
        <v>254</v>
      </c>
      <c r="C47" s="1289" t="s">
        <v>255</v>
      </c>
      <c r="D47" s="1289" t="s">
        <v>527</v>
      </c>
      <c r="E47" s="5382"/>
      <c r="F47" s="5382"/>
      <c r="G47" s="5382"/>
      <c r="H47" s="5382"/>
      <c r="I47" s="5384"/>
      <c r="J47" s="5384"/>
      <c r="K47" s="5383"/>
      <c r="L47" s="1290"/>
      <c r="P47" s="5385"/>
      <c r="Q47" s="5385"/>
      <c r="R47" s="293"/>
      <c r="S47" s="1285"/>
      <c r="T47" s="237"/>
      <c r="U47" s="237"/>
      <c r="V47" s="1286"/>
      <c r="W47" s="1286"/>
      <c r="X47" s="265" t="str">
        <f>Y46&amp;"-"&amp;AA46</f>
        <v>-</v>
      </c>
      <c r="Y47" s="5377"/>
      <c r="Z47" s="5377"/>
      <c r="AA47" s="5377"/>
      <c r="AB47" s="5377"/>
      <c r="AC47" s="262"/>
      <c r="AD47" s="262"/>
      <c r="AE47" s="265" t="str">
        <f>AF46&amp;"-"&amp;AH46</f>
        <v>-</v>
      </c>
      <c r="AF47" s="5387"/>
      <c r="AG47" s="5245"/>
      <c r="AH47" s="5389"/>
      <c r="AI47" s="5245"/>
      <c r="AJ47" s="1365"/>
      <c r="AK47" s="5465"/>
      <c r="AM47" s="436"/>
      <c r="AN47" s="436" t="str">
        <f t="shared" si="1"/>
        <v/>
      </c>
      <c r="AO47" s="436"/>
      <c r="AP47" s="436"/>
      <c r="AQ47" s="1081">
        <v>0</v>
      </c>
    </row>
    <row r="48" spans="1:43" ht="21" customHeight="1">
      <c r="A48" s="1289" t="s">
        <v>253</v>
      </c>
      <c r="B48" s="1289" t="s">
        <v>254</v>
      </c>
      <c r="C48" s="1289" t="s">
        <v>255</v>
      </c>
      <c r="D48" s="1289" t="s">
        <v>527</v>
      </c>
      <c r="E48" s="5382"/>
      <c r="F48" s="5382"/>
      <c r="G48" s="5382"/>
      <c r="H48" s="5382"/>
      <c r="I48" s="5384"/>
      <c r="J48" s="5383"/>
      <c r="K48" s="1289"/>
      <c r="L48" s="1290"/>
      <c r="P48" s="5385"/>
      <c r="Q48" s="5385"/>
      <c r="R48" s="292"/>
      <c r="S48" s="1204"/>
      <c r="T48" s="224" t="s">
        <v>518</v>
      </c>
      <c r="U48" s="303"/>
      <c r="V48" s="303"/>
      <c r="W48" s="303"/>
      <c r="X48" s="303"/>
      <c r="Y48" s="303"/>
      <c r="Z48" s="303"/>
      <c r="AA48" s="303"/>
      <c r="AB48" s="303"/>
      <c r="AC48" s="303"/>
      <c r="AD48" s="303"/>
      <c r="AE48" s="303"/>
      <c r="AF48" s="303"/>
      <c r="AG48" s="303"/>
      <c r="AH48" s="303"/>
      <c r="AI48" s="303"/>
      <c r="AJ48" s="303"/>
      <c r="AK48" s="1184" t="s">
        <v>519</v>
      </c>
      <c r="AM48" s="436"/>
      <c r="AN48" s="436" t="str">
        <f t="shared" si="1"/>
        <v>Добавить значение признака дифференциации</v>
      </c>
      <c r="AO48" s="436"/>
      <c r="AP48" s="436"/>
      <c r="AQ48" s="1081">
        <v>20</v>
      </c>
    </row>
    <row r="49" spans="1:43" ht="21.95" customHeight="1">
      <c r="A49" s="1289" t="s">
        <v>253</v>
      </c>
      <c r="B49" s="1289" t="s">
        <v>254</v>
      </c>
      <c r="C49" s="1289" t="s">
        <v>255</v>
      </c>
      <c r="D49" s="1289" t="s">
        <v>527</v>
      </c>
      <c r="E49" s="5382"/>
      <c r="F49" s="5382"/>
      <c r="G49" s="5382"/>
      <c r="H49" s="5382"/>
      <c r="I49" s="5383"/>
      <c r="J49" s="1289"/>
      <c r="K49" s="1289"/>
      <c r="L49" s="1290"/>
      <c r="P49" s="5385"/>
      <c r="Q49" s="1280"/>
      <c r="R49" s="292"/>
      <c r="S49" s="1204"/>
      <c r="T49" s="301" t="s">
        <v>439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253</v>
      </c>
      <c r="B50" s="1289" t="s">
        <v>254</v>
      </c>
      <c r="C50" s="1289" t="s">
        <v>255</v>
      </c>
      <c r="D50" s="1289" t="s">
        <v>527</v>
      </c>
      <c r="E50" s="5382"/>
      <c r="F50" s="5382"/>
      <c r="G50" s="5382"/>
      <c r="H50" s="5381"/>
      <c r="I50" s="1289"/>
      <c r="J50" s="1289"/>
      <c r="K50" s="1289"/>
      <c r="L50" s="1290"/>
      <c r="M50" s="1291"/>
      <c r="N50" s="1291"/>
      <c r="O50" s="473"/>
      <c r="P50" s="296"/>
      <c r="Q50" s="311"/>
      <c r="R50" s="291"/>
      <c r="S50" s="1204"/>
      <c r="T50" s="308" t="s">
        <v>520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253</v>
      </c>
      <c r="B51" s="1269" t="s">
        <v>254</v>
      </c>
      <c r="C51" s="1240"/>
      <c r="D51" s="1240"/>
      <c r="E51" s="5382"/>
      <c r="F51" s="5381"/>
      <c r="G51" s="1240"/>
      <c r="H51" s="1240"/>
      <c r="I51" s="1240"/>
      <c r="J51" s="1240"/>
      <c r="K51" s="1240"/>
      <c r="L51" s="1352"/>
      <c r="M51" s="1247"/>
      <c r="N51" s="1247"/>
      <c r="P51" s="1242"/>
      <c r="Q51" s="1243"/>
      <c r="R51" s="1242"/>
      <c r="S51" s="1248"/>
      <c r="T51" s="1251" t="s">
        <v>164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253</v>
      </c>
      <c r="B52" s="1269"/>
      <c r="C52" s="1269"/>
      <c r="D52" s="1269"/>
      <c r="E52" s="5381"/>
      <c r="F52" s="1269"/>
      <c r="G52" s="1269"/>
      <c r="H52" s="1269"/>
      <c r="I52" s="1269"/>
      <c r="J52" s="1269"/>
      <c r="K52" s="1269"/>
      <c r="L52" s="1272"/>
      <c r="M52" s="1247"/>
      <c r="N52" s="1247"/>
      <c r="O52" s="454"/>
      <c r="P52" s="316"/>
      <c r="Q52" s="1270"/>
      <c r="R52" s="316"/>
      <c r="S52" s="1248"/>
      <c r="T52" s="1251" t="s">
        <v>165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182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5379"/>
      <c r="U55" s="5379"/>
      <c r="V55" s="5379"/>
      <c r="W55" s="5379"/>
      <c r="X55" s="5379"/>
      <c r="Y55" s="5379"/>
      <c r="Z55" s="5379"/>
      <c r="AA55" s="5379"/>
      <c r="AB55" s="5379"/>
      <c r="AC55" s="5379"/>
      <c r="AD55" s="5379"/>
      <c r="AE55" s="5379"/>
      <c r="AF55" s="5379"/>
      <c r="AG55" s="5379"/>
      <c r="AH55" s="5379"/>
      <c r="AI55" s="5379"/>
      <c r="AJ55" s="5379"/>
      <c r="AK55" s="5379"/>
      <c r="AQ55" s="1081">
        <v>14</v>
      </c>
    </row>
    <row r="56" spans="1:43" ht="14.65" customHeight="1">
      <c r="O56" s="473"/>
      <c r="AQ56" s="1081">
        <v>14</v>
      </c>
    </row>
    <row r="57" spans="1:43" ht="14.65" customHeight="1">
      <c r="O57" s="473"/>
      <c r="S57" s="1179"/>
      <c r="T57" s="5379"/>
      <c r="U57" s="5379"/>
      <c r="V57" s="5379"/>
      <c r="W57" s="5379"/>
      <c r="X57" s="5379"/>
      <c r="Y57" s="5379"/>
      <c r="Z57" s="5379"/>
      <c r="AA57" s="5379"/>
      <c r="AB57" s="5379"/>
      <c r="AC57" s="5379"/>
      <c r="AD57" s="5379"/>
      <c r="AE57" s="5379"/>
      <c r="AF57" s="5379"/>
      <c r="AG57" s="5379"/>
      <c r="AH57" s="5379"/>
      <c r="AI57" s="5379"/>
      <c r="AJ57" s="5379"/>
      <c r="AK57" s="5379"/>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5381">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5373"/>
      <c r="W2" s="5374"/>
      <c r="X2" s="5374"/>
      <c r="Y2" s="5374"/>
      <c r="Z2" s="5374"/>
      <c r="AA2" s="5374"/>
      <c r="AB2" s="5375"/>
      <c r="AC2" s="5373" t="e">
        <f>INDEX(PT_DIFFERENTIATION_NTAR,MATCH(A2,PT_DIFFERENTIATION_NTAR_ID,0))</f>
        <v>#N/A</v>
      </c>
      <c r="AD2" s="5374"/>
      <c r="AE2" s="5374"/>
      <c r="AF2" s="5374"/>
      <c r="AG2" s="5374"/>
      <c r="AH2" s="5374"/>
      <c r="AI2" s="5374"/>
      <c r="AJ2" s="53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5382"/>
      <c r="F3" s="5381">
        <v>1</v>
      </c>
      <c r="G3" s="1289"/>
      <c r="H3" s="1289"/>
      <c r="I3" s="1289"/>
      <c r="J3" s="1289"/>
      <c r="K3" s="1289"/>
      <c r="L3" s="1290"/>
      <c r="M3" s="1291"/>
      <c r="N3" s="1291"/>
      <c r="O3" s="1291"/>
      <c r="P3" s="1379"/>
      <c r="Q3" s="288"/>
      <c r="R3" s="289"/>
      <c r="S3" s="1383" t="e">
        <f>INDEX(PT_DIFFERENTIATION_NUM_TER,MATCH(B3,PT_DIFFERENTIATION_TER_ID,0))</f>
        <v>#N/A</v>
      </c>
      <c r="T3" s="245" t="s">
        <v>424</v>
      </c>
      <c r="U3" s="237"/>
      <c r="V3" s="5373"/>
      <c r="W3" s="5374"/>
      <c r="X3" s="5374"/>
      <c r="Y3" s="5374"/>
      <c r="Z3" s="5374"/>
      <c r="AA3" s="5374"/>
      <c r="AB3" s="5375"/>
      <c r="AC3" s="5373" t="e">
        <f>INDEX(PT_DIFFERENTIATION_TER,MATCH(B3,PT_DIFFERENTIATION_TER_ID,0))</f>
        <v>#N/A</v>
      </c>
      <c r="AD3" s="5374"/>
      <c r="AE3" s="5374"/>
      <c r="AF3" s="5374"/>
      <c r="AG3" s="5374"/>
      <c r="AH3" s="5374"/>
      <c r="AI3" s="5374"/>
      <c r="AJ3" s="5375"/>
      <c r="AK3" s="1184" t="s">
        <v>425</v>
      </c>
      <c r="AM3" s="436"/>
      <c r="AN3" s="436" t="str">
        <f t="shared" si="0"/>
        <v>Территория действия тарифа</v>
      </c>
      <c r="AO3" s="436"/>
      <c r="AP3" s="436"/>
      <c r="AQ3" s="1081">
        <v>0</v>
      </c>
    </row>
    <row r="4" spans="1:43" ht="23.25" hidden="1" customHeight="1">
      <c r="A4" s="1289"/>
      <c r="B4" s="1289"/>
      <c r="C4" s="1289"/>
      <c r="D4" s="1289"/>
      <c r="E4" s="5382"/>
      <c r="F4" s="5382"/>
      <c r="G4" s="5381">
        <v>1</v>
      </c>
      <c r="H4" s="1289"/>
      <c r="I4" s="1289"/>
      <c r="J4" s="1289"/>
      <c r="K4" s="1289"/>
      <c r="L4" s="1290"/>
      <c r="M4" s="1291"/>
      <c r="N4" s="1291"/>
      <c r="O4" s="1291"/>
      <c r="P4" s="290"/>
      <c r="Q4" s="288"/>
      <c r="R4" s="289"/>
      <c r="S4" s="1383" t="e">
        <f>INDEX(PT_DIFFERENTIATION_NUM_CS,MATCH(C4,PT_DIFFERENTIATION_CS_ID,0))</f>
        <v>#N/A</v>
      </c>
      <c r="T4" s="246" t="s">
        <v>513</v>
      </c>
      <c r="U4" s="237"/>
      <c r="V4" s="5373"/>
      <c r="W4" s="5374"/>
      <c r="X4" s="5374"/>
      <c r="Y4" s="5374"/>
      <c r="Z4" s="5374"/>
      <c r="AA4" s="5374"/>
      <c r="AB4" s="5375"/>
      <c r="AC4" s="5373" t="e">
        <f>INDEX(PT_DIFFERENTIATION_CS,MATCH(C4,PT_DIFFERENTIATION_CS_ID,0))</f>
        <v>#N/A</v>
      </c>
      <c r="AD4" s="5374"/>
      <c r="AE4" s="5374"/>
      <c r="AF4" s="5374"/>
      <c r="AG4" s="5374"/>
      <c r="AH4" s="5374"/>
      <c r="AI4" s="5374"/>
      <c r="AJ4" s="5375"/>
      <c r="AK4" s="1184" t="s">
        <v>514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5382"/>
      <c r="F5" s="5382"/>
      <c r="G5" s="5382"/>
      <c r="H5" s="5382"/>
      <c r="I5" s="5383" t="e">
        <f>S4&amp;".1"</f>
        <v>#N/A</v>
      </c>
      <c r="J5" s="1289"/>
      <c r="K5" s="1289"/>
      <c r="L5" s="1290"/>
      <c r="P5" s="5385">
        <v>1</v>
      </c>
      <c r="Q5" s="1376"/>
      <c r="R5" s="292"/>
      <c r="S5" s="1383" t="e">
        <f>$I5</f>
        <v>#N/A</v>
      </c>
      <c r="T5" s="222" t="s">
        <v>515</v>
      </c>
      <c r="U5" s="237"/>
      <c r="V5" s="5459"/>
      <c r="W5" s="5460"/>
      <c r="X5" s="5460"/>
      <c r="Y5" s="5460"/>
      <c r="Z5" s="5460"/>
      <c r="AA5" s="5460"/>
      <c r="AB5" s="5461"/>
      <c r="AC5" s="5462"/>
      <c r="AD5" s="5463"/>
      <c r="AE5" s="5463"/>
      <c r="AF5" s="5463"/>
      <c r="AG5" s="5463"/>
      <c r="AH5" s="5463"/>
      <c r="AI5" s="5463"/>
      <c r="AJ5" s="5464"/>
      <c r="AK5" s="1184" t="s">
        <v>516</v>
      </c>
      <c r="AM5" s="436"/>
      <c r="AN5" s="436" t="str">
        <f t="shared" si="0"/>
        <v>Наименование признака дифференциации</v>
      </c>
      <c r="AO5" s="436"/>
      <c r="AP5" s="436"/>
      <c r="AQ5" s="1081">
        <v>0</v>
      </c>
    </row>
    <row r="6" spans="1:43" ht="23.25" hidden="1" customHeight="1">
      <c r="A6" s="1289"/>
      <c r="B6" s="1289"/>
      <c r="C6" s="1289"/>
      <c r="D6" s="1289"/>
      <c r="E6" s="5382"/>
      <c r="F6" s="5382"/>
      <c r="G6" s="5382"/>
      <c r="H6" s="5382"/>
      <c r="I6" s="5384"/>
      <c r="J6" s="5383" t="e">
        <f>I5&amp;".1"</f>
        <v>#N/A</v>
      </c>
      <c r="K6" s="1289"/>
      <c r="L6" s="1290" t="s">
        <v>433</v>
      </c>
      <c r="P6" s="5385"/>
      <c r="Q6" s="5385">
        <v>1</v>
      </c>
      <c r="R6" s="293"/>
      <c r="S6" s="1383" t="e">
        <f>$J6</f>
        <v>#N/A</v>
      </c>
      <c r="T6" s="223" t="s">
        <v>434</v>
      </c>
      <c r="U6" s="237"/>
      <c r="V6" s="5366"/>
      <c r="W6" s="5367"/>
      <c r="X6" s="5367"/>
      <c r="Y6" s="5367"/>
      <c r="Z6" s="5367"/>
      <c r="AA6" s="5367"/>
      <c r="AB6" s="5368"/>
      <c r="AC6" s="5366"/>
      <c r="AD6" s="5367"/>
      <c r="AE6" s="5367"/>
      <c r="AF6" s="5367"/>
      <c r="AG6" s="5367"/>
      <c r="AH6" s="5367"/>
      <c r="AI6" s="5367"/>
      <c r="AJ6" s="5368"/>
      <c r="AK6" s="1233" t="s">
        <v>517</v>
      </c>
      <c r="AM6" s="436"/>
      <c r="AN6" s="436" t="str">
        <f t="shared" si="0"/>
        <v>Группа потребителей</v>
      </c>
      <c r="AO6" s="436"/>
      <c r="AP6" s="436"/>
      <c r="AQ6" s="1081">
        <v>0</v>
      </c>
    </row>
    <row r="7" spans="1:43" ht="23.25" hidden="1" customHeight="1">
      <c r="A7" s="1289"/>
      <c r="B7" s="1289"/>
      <c r="C7" s="1289"/>
      <c r="D7" s="1289"/>
      <c r="E7" s="5382"/>
      <c r="F7" s="5382"/>
      <c r="G7" s="5382"/>
      <c r="H7" s="5382"/>
      <c r="I7" s="5384"/>
      <c r="J7" s="5384"/>
      <c r="K7" s="5383" t="e">
        <f>J6&amp;".1"</f>
        <v>#N/A</v>
      </c>
      <c r="L7" s="1290"/>
      <c r="P7" s="5385"/>
      <c r="Q7" s="5385"/>
      <c r="R7" s="293">
        <v>1</v>
      </c>
      <c r="S7" s="1383" t="e">
        <f>$K7</f>
        <v>#N/A</v>
      </c>
      <c r="T7" s="1363"/>
      <c r="U7" s="237"/>
      <c r="V7" s="687"/>
      <c r="W7" s="687"/>
      <c r="X7" s="1183"/>
      <c r="Y7" s="5386"/>
      <c r="Z7" s="5245" t="s">
        <v>65</v>
      </c>
      <c r="AA7" s="5386"/>
      <c r="AB7" s="5245" t="s">
        <v>65</v>
      </c>
      <c r="AC7" s="687"/>
      <c r="AD7" s="687"/>
      <c r="AE7" s="1183"/>
      <c r="AF7" s="5386"/>
      <c r="AG7" s="5245" t="s">
        <v>65</v>
      </c>
      <c r="AH7" s="5388"/>
      <c r="AI7" s="5245" t="s">
        <v>65</v>
      </c>
      <c r="AJ7" s="1364"/>
      <c r="AK7"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5382"/>
      <c r="F8" s="5382"/>
      <c r="G8" s="5382"/>
      <c r="H8" s="5382"/>
      <c r="I8" s="5384"/>
      <c r="J8" s="5384"/>
      <c r="K8" s="5383"/>
      <c r="L8" s="1290"/>
      <c r="P8" s="5385"/>
      <c r="Q8" s="5385"/>
      <c r="R8" s="293"/>
      <c r="S8" s="1382"/>
      <c r="T8" s="237"/>
      <c r="U8" s="237"/>
      <c r="V8" s="262"/>
      <c r="W8" s="262"/>
      <c r="X8" s="265" t="str">
        <f>Y7&amp;"-"&amp;AA7</f>
        <v>-</v>
      </c>
      <c r="Y8" s="5387"/>
      <c r="Z8" s="5245"/>
      <c r="AA8" s="5387"/>
      <c r="AB8" s="5245"/>
      <c r="AC8" s="262"/>
      <c r="AD8" s="262"/>
      <c r="AE8" s="265" t="str">
        <f>AF7&amp;"-"&amp;AH7</f>
        <v>-</v>
      </c>
      <c r="AF8" s="5387"/>
      <c r="AG8" s="5245"/>
      <c r="AH8" s="5389"/>
      <c r="AI8" s="5245"/>
      <c r="AJ8" s="1365"/>
      <c r="AK8" s="5465"/>
      <c r="AM8" s="436"/>
      <c r="AN8" s="436" t="str">
        <f t="shared" si="0"/>
        <v/>
      </c>
      <c r="AO8" s="436"/>
      <c r="AP8" s="436"/>
      <c r="AQ8" s="1081">
        <v>0</v>
      </c>
    </row>
    <row r="9" spans="1:43" ht="21" hidden="1" customHeight="1">
      <c r="A9" s="1289"/>
      <c r="B9" s="1289"/>
      <c r="C9" s="1289"/>
      <c r="D9" s="1289"/>
      <c r="E9" s="5382"/>
      <c r="F9" s="5382"/>
      <c r="G9" s="5382"/>
      <c r="H9" s="5382"/>
      <c r="I9" s="5384"/>
      <c r="J9" s="5383"/>
      <c r="K9" s="1289"/>
      <c r="L9" s="1290"/>
      <c r="P9" s="5385"/>
      <c r="Q9" s="5385"/>
      <c r="R9" s="292"/>
      <c r="S9" s="1204"/>
      <c r="T9" s="224" t="s">
        <v>518</v>
      </c>
      <c r="U9" s="303"/>
      <c r="V9" s="303"/>
      <c r="W9" s="303"/>
      <c r="X9" s="303"/>
      <c r="Y9" s="303"/>
      <c r="Z9" s="303"/>
      <c r="AA9" s="303"/>
      <c r="AB9" s="303"/>
      <c r="AC9" s="303"/>
      <c r="AD9" s="303"/>
      <c r="AE9" s="303"/>
      <c r="AF9" s="303"/>
      <c r="AG9" s="303"/>
      <c r="AH9" s="303"/>
      <c r="AI9" s="303"/>
      <c r="AJ9" s="303"/>
      <c r="AK9" s="1184" t="s">
        <v>519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5382"/>
      <c r="F10" s="5382"/>
      <c r="G10" s="5382"/>
      <c r="H10" s="5382"/>
      <c r="I10" s="5383"/>
      <c r="J10" s="1289"/>
      <c r="K10" s="1289"/>
      <c r="L10" s="1290"/>
      <c r="P10" s="5385"/>
      <c r="Q10" s="1376"/>
      <c r="R10" s="292"/>
      <c r="S10" s="1204"/>
      <c r="T10" s="301" t="s">
        <v>439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5382"/>
      <c r="F11" s="5382"/>
      <c r="G11" s="5382"/>
      <c r="H11" s="5381"/>
      <c r="I11" s="1289"/>
      <c r="J11" s="1289"/>
      <c r="K11" s="1289"/>
      <c r="L11" s="1290"/>
      <c r="M11" s="1291"/>
      <c r="N11" s="1291"/>
      <c r="O11" s="473"/>
      <c r="P11" s="296"/>
      <c r="Q11" s="311"/>
      <c r="R11" s="291"/>
      <c r="S11" s="1204"/>
      <c r="T11" s="308" t="s">
        <v>520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5382"/>
      <c r="F12" s="5381"/>
      <c r="G12" s="1240"/>
      <c r="H12" s="1240"/>
      <c r="I12" s="1240"/>
      <c r="J12" s="1240"/>
      <c r="K12" s="1240"/>
      <c r="L12" s="1384"/>
      <c r="M12" s="1247"/>
      <c r="N12" s="1247"/>
      <c r="P12" s="1242"/>
      <c r="Q12" s="1243"/>
      <c r="R12" s="1242"/>
      <c r="S12" s="1248"/>
      <c r="T12" s="1251" t="s">
        <v>164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5381"/>
      <c r="F13" s="1269"/>
      <c r="G13" s="1269"/>
      <c r="H13" s="1269"/>
      <c r="I13" s="1269"/>
      <c r="J13" s="1269"/>
      <c r="K13" s="1269"/>
      <c r="L13" s="1272"/>
      <c r="M13" s="1247"/>
      <c r="N13" s="1247"/>
      <c r="O13" s="454"/>
      <c r="P13" s="316"/>
      <c r="Q13" s="1270"/>
      <c r="R13" s="316"/>
      <c r="S13" s="1248"/>
      <c r="T13" s="1251" t="s">
        <v>165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5378"/>
      <c r="AG15" s="5377" t="s">
        <v>65</v>
      </c>
      <c r="AH15" s="5378"/>
      <c r="AI15" s="5377" t="s">
        <v>65</v>
      </c>
      <c r="AQ15" s="1081">
        <v>0</v>
      </c>
    </row>
    <row r="16" spans="1:43" ht="14.25" hidden="1" customHeight="1">
      <c r="AC16" s="1286"/>
      <c r="AD16" s="1286"/>
      <c r="AE16" s="265" t="str">
        <f>AF15&amp;"-"&amp;AH15</f>
        <v>-</v>
      </c>
      <c r="AF16" s="5377"/>
      <c r="AG16" s="5377"/>
      <c r="AH16" s="5377"/>
      <c r="AI16" s="5377"/>
      <c r="AQ16" s="1081">
        <v>0</v>
      </c>
    </row>
    <row r="17" spans="1:43" ht="14.25" hidden="1" customHeight="1">
      <c r="AI17" s="264"/>
      <c r="AQ17" s="1081">
        <v>0</v>
      </c>
    </row>
    <row r="18" spans="1:43" s="1292" customFormat="1" ht="22.5" hidden="1" customHeight="1">
      <c r="L18" s="1373"/>
      <c r="M18" s="1288"/>
      <c r="N18" s="1288"/>
      <c r="O18" s="1293" t="s">
        <v>441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442</v>
      </c>
      <c r="P20" s="1288"/>
      <c r="Q20" s="1368"/>
      <c r="R20" s="1368"/>
      <c r="S20" s="665"/>
      <c r="T20" s="1086" t="s">
        <v>443</v>
      </c>
      <c r="Z20" s="124" t="s">
        <v>444</v>
      </c>
      <c r="AB20" s="124" t="s">
        <v>445</v>
      </c>
      <c r="AC20" s="1086" t="s">
        <v>443</v>
      </c>
      <c r="AG20" s="124" t="s">
        <v>446</v>
      </c>
      <c r="AI20" s="124" t="s">
        <v>445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535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359"/>
      <c r="U24" s="5359"/>
      <c r="V24" s="5359"/>
      <c r="W24" s="5359"/>
      <c r="X24" s="5359"/>
      <c r="Y24" s="5359"/>
      <c r="Z24" s="5359"/>
      <c r="AA24" s="5359"/>
      <c r="AB24" s="5359"/>
      <c r="AC24" s="5359"/>
      <c r="AD24" s="5359"/>
      <c r="AE24" s="5359"/>
      <c r="AF24" s="5359"/>
      <c r="AG24" s="5359"/>
      <c r="AH24" s="5359"/>
      <c r="AI24" s="1169"/>
      <c r="AQ24" s="1081">
        <v>14</v>
      </c>
    </row>
    <row r="25" spans="1:43" ht="14.65" customHeight="1">
      <c r="Q25" s="312"/>
      <c r="R25" s="312"/>
      <c r="S25" s="5331" t="str">
        <f>IF(org=0,"Не определено",org)</f>
        <v>ПАО "ТГК-1" филиал "Невский"</v>
      </c>
      <c r="T25" s="5331"/>
      <c r="U25" s="5331"/>
      <c r="V25" s="5331"/>
      <c r="W25" s="5331"/>
      <c r="X25" s="5331"/>
      <c r="Y25" s="5331"/>
      <c r="Z25" s="5331"/>
      <c r="AA25" s="5331"/>
      <c r="AB25" s="5331"/>
      <c r="AC25" s="5331"/>
      <c r="AD25" s="5331"/>
      <c r="AE25" s="5331"/>
      <c r="AF25" s="5331"/>
      <c r="AG25" s="5331"/>
      <c r="AH25" s="5331"/>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5370" t="s">
        <v>42</v>
      </c>
      <c r="T27" s="5370"/>
      <c r="U27" s="1298"/>
      <c r="V27" s="5372" t="str">
        <f>IF(TITLE_NAME_OR_PR_CHANGE="",IF(TITLE_NAME_OR_PR="","",TITLE_NAME_OR_PR),TITLE_NAME_OR_PR_CHANGE)</f>
        <v>Комитет по тарифам Санкт-Петербурга</v>
      </c>
      <c r="W27" s="5372"/>
      <c r="X27" s="5372"/>
      <c r="Y27" s="5372"/>
      <c r="Z27" s="5372"/>
      <c r="AA27" s="5372"/>
      <c r="AB27" s="263"/>
      <c r="AC27" s="5372" t="str">
        <f>IF(TITLE_NAME_OR_PR_CHANGE="",IF(TITLE_NAME_OR_PR="","",TITLE_NAME_OR_PR),TITLE_NAME_OR_PR_CHANGE)</f>
        <v>Комитет по тарифам Санкт-Петербурга</v>
      </c>
      <c r="AD27" s="5372"/>
      <c r="AE27" s="5372"/>
      <c r="AF27" s="5372"/>
      <c r="AG27" s="5372"/>
      <c r="AH27" s="5372"/>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5370" t="s">
        <v>447</v>
      </c>
      <c r="T28" s="5370"/>
      <c r="U28" s="1298"/>
      <c r="V28" s="5371">
        <f>IF(TITLE_DATE_PR_CHANGE="",IF(TITLE_DATE_PR="","",TITLE_DATE_PR),TITLE_DATE_PR_CHANGE)</f>
        <v>45470</v>
      </c>
      <c r="W28" s="5371"/>
      <c r="X28" s="5371"/>
      <c r="Y28" s="5371"/>
      <c r="Z28" s="5371"/>
      <c r="AA28" s="5371"/>
      <c r="AB28" s="263"/>
      <c r="AC28" s="5371">
        <f>IF(TITLE_DATE_PR_CHANGE="",IF(TITLE_DATE_PR="","",TITLE_DATE_PR),TITLE_DATE_PR_CHANGE)</f>
        <v>45470</v>
      </c>
      <c r="AD28" s="5371"/>
      <c r="AE28" s="5371"/>
      <c r="AF28" s="5371"/>
      <c r="AG28" s="5371"/>
      <c r="AH28" s="5371"/>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5370" t="s">
        <v>448</v>
      </c>
      <c r="T29" s="5370"/>
      <c r="U29" s="1298"/>
      <c r="V29" s="5372" t="str">
        <f>IF(TITLE_NUMBER_PR_CHANGE="",IF(TITLE_NUMBER_PR="","",TITLE_NUMBER_PR),TITLE_NUMBER_PR_CHANGE)</f>
        <v>94-р</v>
      </c>
      <c r="W29" s="5372"/>
      <c r="X29" s="5372"/>
      <c r="Y29" s="5372"/>
      <c r="Z29" s="5372"/>
      <c r="AA29" s="5372"/>
      <c r="AB29" s="263"/>
      <c r="AC29" s="5372" t="str">
        <f>IF(TITLE_NUMBER_PR_CHANGE="",IF(TITLE_NUMBER_PR="","",TITLE_NUMBER_PR),TITLE_NUMBER_PR_CHANGE)</f>
        <v>94-р</v>
      </c>
      <c r="AD29" s="5372"/>
      <c r="AE29" s="5372"/>
      <c r="AF29" s="5372"/>
      <c r="AG29" s="5372"/>
      <c r="AH29" s="5372"/>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5370" t="s">
        <v>44</v>
      </c>
      <c r="T30" s="5370"/>
      <c r="U30" s="1298"/>
      <c r="V30" s="5372" t="str">
        <f>IF(TITLE_IST_PUB_CHANGE="",IF(TITLE_IST_PUB="","",TITLE_IST_PUB),TITLE_IST_PUB_CHANGE)</f>
        <v>http://publication.pravo.gov.ru/document/7801202407010029</v>
      </c>
      <c r="W30" s="5372"/>
      <c r="X30" s="5372"/>
      <c r="Y30" s="5372"/>
      <c r="Z30" s="5372"/>
      <c r="AA30" s="5372"/>
      <c r="AB30" s="263"/>
      <c r="AC30" s="5372" t="str">
        <f>IF(TITLE_IST_PUB_CHANGE="",IF(TITLE_IST_PUB="","",TITLE_IST_PUB),TITLE_IST_PUB_CHANGE)</f>
        <v>http://publication.pravo.gov.ru/document/7801202407010029</v>
      </c>
      <c r="AD30" s="5372"/>
      <c r="AE30" s="5372"/>
      <c r="AF30" s="5372"/>
      <c r="AG30" s="5372"/>
      <c r="AH30" s="537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5370" t="s">
        <v>449</v>
      </c>
      <c r="T32" s="5370"/>
      <c r="U32" s="1298"/>
      <c r="V32" s="5371">
        <f>IF(TITLE_DATE_PR_CHANGE="",IF(TITLE_DATE_PR="","",TITLE_DATE_PR),TITLE_DATE_PR_CHANGE)</f>
        <v>45470</v>
      </c>
      <c r="W32" s="5371"/>
      <c r="X32" s="5371"/>
      <c r="Y32" s="5371"/>
      <c r="Z32" s="5371"/>
      <c r="AA32" s="5371"/>
      <c r="AB32" s="263"/>
      <c r="AC32" s="5371">
        <f>IF(TITLE_DATE_PR_CHANGE="",IF(TITLE_DATE_PR="","",TITLE_DATE_PR),TITLE_DATE_PR_CHANGE)</f>
        <v>45470</v>
      </c>
      <c r="AD32" s="5371"/>
      <c r="AE32" s="5371"/>
      <c r="AF32" s="5371"/>
      <c r="AG32" s="5371"/>
      <c r="AH32" s="5371"/>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5370" t="s">
        <v>450</v>
      </c>
      <c r="T33" s="5370"/>
      <c r="U33" s="1298"/>
      <c r="V33" s="5372" t="str">
        <f>IF(TITLE_NUMBER_PR_CHANGE="",IF(TITLE_NUMBER_PR="","",TITLE_NUMBER_PR),TITLE_NUMBER_PR_CHANGE)</f>
        <v>94-р</v>
      </c>
      <c r="W33" s="5372"/>
      <c r="X33" s="5372"/>
      <c r="Y33" s="5372"/>
      <c r="Z33" s="5372"/>
      <c r="AA33" s="5372"/>
      <c r="AB33" s="263"/>
      <c r="AC33" s="5372" t="str">
        <f>IF(TITLE_NUMBER_PR_CHANGE="",IF(TITLE_NUMBER_PR="","",TITLE_NUMBER_PR),TITLE_NUMBER_PR_CHANGE)</f>
        <v>94-р</v>
      </c>
      <c r="AD33" s="5372"/>
      <c r="AE33" s="5372"/>
      <c r="AF33" s="5372"/>
      <c r="AG33" s="5372"/>
      <c r="AH33" s="537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451</v>
      </c>
      <c r="AC34" s="263"/>
      <c r="AD34" s="263"/>
      <c r="AE34" s="263"/>
      <c r="AF34" s="263"/>
      <c r="AG34" s="263"/>
      <c r="AH34" s="263"/>
      <c r="AI34" s="215" t="s">
        <v>451</v>
      </c>
      <c r="AL34" s="304"/>
      <c r="AM34" s="304"/>
      <c r="AN34" s="304"/>
      <c r="AO34" s="304"/>
      <c r="AP34" s="304"/>
      <c r="AQ34" s="354">
        <v>1</v>
      </c>
    </row>
    <row r="35" spans="1:43" ht="14.65" customHeight="1">
      <c r="Q35" s="312"/>
      <c r="R35" s="312"/>
      <c r="S35" s="1201"/>
      <c r="T35" s="299"/>
      <c r="U35" s="1170"/>
      <c r="V35" s="5393"/>
      <c r="W35" s="5393"/>
      <c r="X35" s="5393"/>
      <c r="Y35" s="5393"/>
      <c r="Z35" s="5393"/>
      <c r="AA35" s="5393"/>
      <c r="AB35" s="5393"/>
      <c r="AC35" s="5393"/>
      <c r="AD35" s="5393"/>
      <c r="AE35" s="5393"/>
      <c r="AF35" s="5393"/>
      <c r="AG35" s="5393"/>
      <c r="AH35" s="5393"/>
      <c r="AI35" s="5393"/>
      <c r="AQ35" s="1081">
        <v>14</v>
      </c>
    </row>
    <row r="36" spans="1:43" ht="14.65" customHeight="1">
      <c r="Q36" s="312"/>
      <c r="R36" s="312"/>
      <c r="S36" s="5235" t="s">
        <v>327</v>
      </c>
      <c r="T36" s="5235"/>
      <c r="U36" s="5235"/>
      <c r="V36" s="5235"/>
      <c r="W36" s="5235"/>
      <c r="X36" s="5235"/>
      <c r="Y36" s="5235"/>
      <c r="Z36" s="5235"/>
      <c r="AA36" s="5235"/>
      <c r="AB36" s="5235"/>
      <c r="AC36" s="5235"/>
      <c r="AD36" s="5235"/>
      <c r="AE36" s="5235"/>
      <c r="AF36" s="5235"/>
      <c r="AG36" s="5235"/>
      <c r="AH36" s="5235"/>
      <c r="AI36" s="5235"/>
      <c r="AJ36" s="5235"/>
      <c r="AK36" s="5235" t="s">
        <v>328</v>
      </c>
      <c r="AQ36" s="1081">
        <v>14</v>
      </c>
    </row>
    <row r="37" spans="1:43" ht="14.65" customHeight="1">
      <c r="Q37" s="312"/>
      <c r="R37" s="312"/>
      <c r="S37" s="5395" t="s">
        <v>90</v>
      </c>
      <c r="T37" s="5339" t="s">
        <v>452</v>
      </c>
      <c r="U37" s="238"/>
      <c r="V37" s="5396" t="s">
        <v>453</v>
      </c>
      <c r="W37" s="5397"/>
      <c r="X37" s="5397"/>
      <c r="Y37" s="5397"/>
      <c r="Z37" s="5397"/>
      <c r="AA37" s="5398"/>
      <c r="AB37" s="5399" t="s">
        <v>454</v>
      </c>
      <c r="AC37" s="5396" t="s">
        <v>453</v>
      </c>
      <c r="AD37" s="5397"/>
      <c r="AE37" s="5397"/>
      <c r="AF37" s="5397"/>
      <c r="AG37" s="5397"/>
      <c r="AH37" s="5398"/>
      <c r="AI37" s="5399" t="s">
        <v>455</v>
      </c>
      <c r="AJ37" s="5402" t="s">
        <v>456</v>
      </c>
      <c r="AK37" s="5235"/>
      <c r="AQ37" s="1081">
        <v>14</v>
      </c>
    </row>
    <row r="38" spans="1:43" ht="35.65" customHeight="1">
      <c r="Q38" s="312"/>
      <c r="R38" s="312"/>
      <c r="S38" s="5395"/>
      <c r="T38" s="5339"/>
      <c r="U38" s="960"/>
      <c r="V38" s="1378" t="s">
        <v>521</v>
      </c>
      <c r="W38" s="5217" t="s">
        <v>459</v>
      </c>
      <c r="X38" s="5216"/>
      <c r="Y38" s="5217" t="s">
        <v>460</v>
      </c>
      <c r="Z38" s="5222"/>
      <c r="AA38" s="5216"/>
      <c r="AB38" s="5400"/>
      <c r="AC38" s="1378" t="s">
        <v>521</v>
      </c>
      <c r="AD38" s="5217" t="s">
        <v>459</v>
      </c>
      <c r="AE38" s="5216"/>
      <c r="AF38" s="5217" t="s">
        <v>460</v>
      </c>
      <c r="AG38" s="5222"/>
      <c r="AH38" s="5216"/>
      <c r="AI38" s="5400"/>
      <c r="AJ38" s="5403"/>
      <c r="AK38" s="5235"/>
      <c r="AQ38" s="1081">
        <v>34</v>
      </c>
    </row>
    <row r="39" spans="1:43" ht="35.65" customHeight="1">
      <c r="A39" s="1296"/>
      <c r="B39" s="1296" t="s">
        <v>137</v>
      </c>
      <c r="C39" s="1296" t="s">
        <v>138</v>
      </c>
      <c r="D39" s="1296" t="s">
        <v>139</v>
      </c>
      <c r="E39" s="1290" t="s">
        <v>461</v>
      </c>
      <c r="F39" s="1290" t="s">
        <v>462</v>
      </c>
      <c r="G39" s="1290" t="s">
        <v>463</v>
      </c>
      <c r="H39" s="1290"/>
      <c r="I39" s="1290" t="s">
        <v>522</v>
      </c>
      <c r="J39" s="1290" t="s">
        <v>466</v>
      </c>
      <c r="K39" s="1290" t="s">
        <v>523</v>
      </c>
      <c r="L39" s="1290" t="s">
        <v>442</v>
      </c>
      <c r="Q39" s="312"/>
      <c r="R39" s="312"/>
      <c r="S39" s="5395"/>
      <c r="T39" s="5339"/>
      <c r="U39" s="239"/>
      <c r="V39" s="1378" t="s">
        <v>524</v>
      </c>
      <c r="W39" s="1148" t="s">
        <v>525</v>
      </c>
      <c r="X39" s="1148" t="s">
        <v>526</v>
      </c>
      <c r="Y39" s="1381" t="s">
        <v>470</v>
      </c>
      <c r="Z39" s="5344" t="s">
        <v>471</v>
      </c>
      <c r="AA39" s="5358"/>
      <c r="AB39" s="5401"/>
      <c r="AC39" s="1378" t="s">
        <v>524</v>
      </c>
      <c r="AD39" s="1148" t="s">
        <v>525</v>
      </c>
      <c r="AE39" s="1148" t="s">
        <v>526</v>
      </c>
      <c r="AF39" s="1381" t="s">
        <v>470</v>
      </c>
      <c r="AG39" s="5344" t="s">
        <v>471</v>
      </c>
      <c r="AH39" s="5358"/>
      <c r="AI39" s="5401"/>
      <c r="AJ39" s="5404"/>
      <c r="AK39" s="5235"/>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5392">
        <f ca="1">OFFSET(Z40,0,-1)+1</f>
        <v>7</v>
      </c>
      <c r="AA40" s="5392"/>
      <c r="AB40" s="1377">
        <f ca="1">OFFSET(AB40,0,-2)+1</f>
        <v>8</v>
      </c>
      <c r="AC40" s="1377">
        <f ca="1">OFFSET(AC40,0,-1)+1</f>
        <v>9</v>
      </c>
      <c r="AD40" s="1377">
        <f ca="1">OFFSET(AD40,0,-1)+1</f>
        <v>10</v>
      </c>
      <c r="AE40" s="1377">
        <f ca="1">OFFSET(AE40,0,-1)+1</f>
        <v>11</v>
      </c>
      <c r="AF40" s="1377">
        <f ca="1">OFFSET(AF40,0,-1)+1</f>
        <v>12</v>
      </c>
      <c r="AG40" s="5392">
        <f ca="1">OFFSET(AG40,0,-1)+1</f>
        <v>13</v>
      </c>
      <c r="AH40" s="5392"/>
      <c r="AI40" s="1377">
        <f ca="1">OFFSET(AI40,0,-2)+1</f>
        <v>14</v>
      </c>
      <c r="AJ40" s="1171">
        <f ca="1">OFFSET(AJ40,0,-1)</f>
        <v>14</v>
      </c>
      <c r="AK40" s="1377">
        <f ca="1">OFFSET(AK40,0,-1)+1</f>
        <v>15</v>
      </c>
      <c r="AL40" s="447"/>
      <c r="AM40" s="447"/>
      <c r="AN40" s="447"/>
      <c r="AO40" s="447"/>
      <c r="AP40" s="447"/>
      <c r="AQ40" s="432">
        <v>0</v>
      </c>
    </row>
    <row r="41" spans="1:43" ht="24" customHeight="1">
      <c r="A41" s="1289" t="s">
        <v>258</v>
      </c>
      <c r="B41" s="1289"/>
      <c r="C41" s="1289"/>
      <c r="D41" s="1289"/>
      <c r="E41" s="538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5373"/>
      <c r="W41" s="5374"/>
      <c r="X41" s="5374"/>
      <c r="Y41" s="5374"/>
      <c r="Z41" s="5374"/>
      <c r="AA41" s="5374"/>
      <c r="AB41" s="5375"/>
      <c r="AC41" s="5373" t="str">
        <f>INDEX(PT_DIFFERENTIATION_NTAR,MATCH(A41,PT_DIFFERENTIATION_NTAR_ID,0))</f>
        <v/>
      </c>
      <c r="AD41" s="5374"/>
      <c r="AE41" s="5374"/>
      <c r="AF41" s="5374"/>
      <c r="AG41" s="5374"/>
      <c r="AH41" s="5374"/>
      <c r="AI41" s="5374"/>
      <c r="AJ41" s="53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258</v>
      </c>
      <c r="B42" s="1289" t="s">
        <v>259</v>
      </c>
      <c r="C42" s="1289"/>
      <c r="D42" s="1289"/>
      <c r="E42" s="5382"/>
      <c r="F42" s="5381">
        <v>1</v>
      </c>
      <c r="G42" s="1289"/>
      <c r="H42" s="1289"/>
      <c r="I42" s="1289"/>
      <c r="J42" s="1289"/>
      <c r="K42" s="1289"/>
      <c r="L42" s="1290"/>
      <c r="M42" s="1291"/>
      <c r="N42" s="1291"/>
      <c r="O42" s="1291"/>
      <c r="P42" s="1379"/>
      <c r="Q42" s="288"/>
      <c r="R42" s="289"/>
      <c r="S42" s="1383" t="str">
        <f>INDEX(PT_DIFFERENTIATION_NUM_TER,MATCH(B42,PT_DIFFERENTIATION_TER_ID,0))</f>
        <v>.</v>
      </c>
      <c r="T42" s="245" t="s">
        <v>424</v>
      </c>
      <c r="U42" s="237"/>
      <c r="V42" s="5373"/>
      <c r="W42" s="5374"/>
      <c r="X42" s="5374"/>
      <c r="Y42" s="5374"/>
      <c r="Z42" s="5374"/>
      <c r="AA42" s="5374"/>
      <c r="AB42" s="5375"/>
      <c r="AC42" s="5373" t="str">
        <f>INDEX(PT_DIFFERENTIATION_TER,MATCH(B42,PT_DIFFERENTIATION_TER_ID,0))</f>
        <v/>
      </c>
      <c r="AD42" s="5374"/>
      <c r="AE42" s="5374"/>
      <c r="AF42" s="5374"/>
      <c r="AG42" s="5374"/>
      <c r="AH42" s="5374"/>
      <c r="AI42" s="5374"/>
      <c r="AJ42" s="5375"/>
      <c r="AK42" s="1184" t="s">
        <v>425</v>
      </c>
      <c r="AM42" s="436"/>
      <c r="AN42" s="436" t="str">
        <f t="shared" si="1"/>
        <v>Территория действия тарифа</v>
      </c>
      <c r="AO42" s="436"/>
      <c r="AP42" s="436"/>
      <c r="AQ42" s="1081">
        <v>23</v>
      </c>
    </row>
    <row r="43" spans="1:43" ht="24" customHeight="1">
      <c r="A43" s="1289" t="s">
        <v>258</v>
      </c>
      <c r="B43" s="1289" t="s">
        <v>259</v>
      </c>
      <c r="C43" s="1289" t="s">
        <v>260</v>
      </c>
      <c r="D43" s="1289"/>
      <c r="E43" s="5382"/>
      <c r="F43" s="5382"/>
      <c r="G43" s="5381">
        <v>1</v>
      </c>
      <c r="H43" s="1289"/>
      <c r="I43" s="1289"/>
      <c r="J43" s="1289"/>
      <c r="K43" s="1289"/>
      <c r="L43" s="1290"/>
      <c r="M43" s="1291"/>
      <c r="N43" s="1291"/>
      <c r="O43" s="1291"/>
      <c r="P43" s="290"/>
      <c r="Q43" s="288"/>
      <c r="R43" s="289"/>
      <c r="S43" s="1383" t="str">
        <f>INDEX(PT_DIFFERENTIATION_NUM_CS,MATCH(C43,PT_DIFFERENTIATION_CS_ID,0))</f>
        <v>..</v>
      </c>
      <c r="T43" s="246" t="s">
        <v>513</v>
      </c>
      <c r="U43" s="237"/>
      <c r="V43" s="5373"/>
      <c r="W43" s="5374"/>
      <c r="X43" s="5374"/>
      <c r="Y43" s="5374"/>
      <c r="Z43" s="5374"/>
      <c r="AA43" s="5374"/>
      <c r="AB43" s="5375"/>
      <c r="AC43" s="5373" t="str">
        <f>INDEX(PT_DIFFERENTIATION_CS,MATCH(C43,PT_DIFFERENTIATION_CS_ID,0))</f>
        <v/>
      </c>
      <c r="AD43" s="5374"/>
      <c r="AE43" s="5374"/>
      <c r="AF43" s="5374"/>
      <c r="AG43" s="5374"/>
      <c r="AH43" s="5374"/>
      <c r="AI43" s="5374"/>
      <c r="AJ43" s="5375"/>
      <c r="AK43" s="1184" t="s">
        <v>514</v>
      </c>
      <c r="AM43" s="436"/>
      <c r="AN43" s="436" t="str">
        <f t="shared" si="1"/>
        <v>Наименование централизованной системы холодного водоснабжения</v>
      </c>
      <c r="AO43" s="436"/>
      <c r="AP43" s="436"/>
      <c r="AQ43" s="1081">
        <v>23</v>
      </c>
    </row>
    <row r="44" spans="1:43" ht="24" customHeight="1">
      <c r="A44" s="1289" t="s">
        <v>258</v>
      </c>
      <c r="B44" s="1289" t="s">
        <v>259</v>
      </c>
      <c r="C44" s="1289" t="s">
        <v>260</v>
      </c>
      <c r="D44" s="1289" t="s">
        <v>528</v>
      </c>
      <c r="E44" s="5382"/>
      <c r="F44" s="5382"/>
      <c r="G44" s="5382"/>
      <c r="H44" s="5382"/>
      <c r="I44" s="5383" t="str">
        <f>S43&amp;".1"</f>
        <v>...1</v>
      </c>
      <c r="J44" s="1289"/>
      <c r="K44" s="1289"/>
      <c r="L44" s="1290"/>
      <c r="P44" s="5385">
        <v>1</v>
      </c>
      <c r="Q44" s="1376"/>
      <c r="R44" s="292"/>
      <c r="S44" s="1383" t="str">
        <f>$I44</f>
        <v>...1</v>
      </c>
      <c r="T44" s="222" t="s">
        <v>515</v>
      </c>
      <c r="U44" s="237"/>
      <c r="V44" s="5459"/>
      <c r="W44" s="5460"/>
      <c r="X44" s="5460"/>
      <c r="Y44" s="5460"/>
      <c r="Z44" s="5460"/>
      <c r="AA44" s="5460"/>
      <c r="AB44" s="5461"/>
      <c r="AC44" s="5462"/>
      <c r="AD44" s="5463"/>
      <c r="AE44" s="5463"/>
      <c r="AF44" s="5463"/>
      <c r="AG44" s="5463"/>
      <c r="AH44" s="5463"/>
      <c r="AI44" s="5463"/>
      <c r="AJ44" s="5464"/>
      <c r="AK44" s="1184" t="s">
        <v>516</v>
      </c>
      <c r="AM44" s="436"/>
      <c r="AN44" s="436" t="str">
        <f t="shared" si="1"/>
        <v>Наименование признака дифференциации</v>
      </c>
      <c r="AO44" s="436"/>
      <c r="AP44" s="436"/>
      <c r="AQ44" s="1081">
        <v>23</v>
      </c>
    </row>
    <row r="45" spans="1:43" ht="24" customHeight="1">
      <c r="A45" s="1289" t="s">
        <v>258</v>
      </c>
      <c r="B45" s="1289" t="s">
        <v>259</v>
      </c>
      <c r="C45" s="1289" t="s">
        <v>260</v>
      </c>
      <c r="D45" s="1289" t="s">
        <v>528</v>
      </c>
      <c r="E45" s="5382"/>
      <c r="F45" s="5382"/>
      <c r="G45" s="5382"/>
      <c r="H45" s="5382"/>
      <c r="I45" s="5384"/>
      <c r="J45" s="5383" t="str">
        <f>I44&amp;".1"</f>
        <v>...1.1</v>
      </c>
      <c r="K45" s="1289"/>
      <c r="L45" s="1290" t="s">
        <v>433</v>
      </c>
      <c r="P45" s="5385"/>
      <c r="Q45" s="5385">
        <v>1</v>
      </c>
      <c r="R45" s="293"/>
      <c r="S45" s="1383" t="str">
        <f>$J45</f>
        <v>...1.1</v>
      </c>
      <c r="T45" s="223" t="s">
        <v>434</v>
      </c>
      <c r="U45" s="237"/>
      <c r="V45" s="5366"/>
      <c r="W45" s="5367"/>
      <c r="X45" s="5367"/>
      <c r="Y45" s="5367"/>
      <c r="Z45" s="5367"/>
      <c r="AA45" s="5367"/>
      <c r="AB45" s="5368"/>
      <c r="AC45" s="5366"/>
      <c r="AD45" s="5367"/>
      <c r="AE45" s="5367"/>
      <c r="AF45" s="5367"/>
      <c r="AG45" s="5367"/>
      <c r="AH45" s="5367"/>
      <c r="AI45" s="5367"/>
      <c r="AJ45" s="5368"/>
      <c r="AK45" s="1233" t="s">
        <v>517</v>
      </c>
      <c r="AM45" s="436"/>
      <c r="AN45" s="436" t="str">
        <f t="shared" si="1"/>
        <v>Группа потребителей</v>
      </c>
      <c r="AO45" s="436"/>
      <c r="AP45" s="436"/>
      <c r="AQ45" s="1081">
        <v>23</v>
      </c>
    </row>
    <row r="46" spans="1:43" ht="24" customHeight="1">
      <c r="A46" s="1289" t="s">
        <v>258</v>
      </c>
      <c r="B46" s="1289" t="s">
        <v>259</v>
      </c>
      <c r="C46" s="1289" t="s">
        <v>260</v>
      </c>
      <c r="D46" s="1289" t="s">
        <v>528</v>
      </c>
      <c r="E46" s="5382"/>
      <c r="F46" s="5382"/>
      <c r="G46" s="5382"/>
      <c r="H46" s="5382"/>
      <c r="I46" s="5384"/>
      <c r="J46" s="5384"/>
      <c r="K46" s="5383" t="str">
        <f>J45&amp;".1"</f>
        <v>...1.1.1</v>
      </c>
      <c r="L46" s="1290"/>
      <c r="P46" s="5385"/>
      <c r="Q46" s="5385"/>
      <c r="R46" s="293">
        <v>1</v>
      </c>
      <c r="S46" s="1383" t="str">
        <f>$K46</f>
        <v>...1.1.1</v>
      </c>
      <c r="T46" s="1363"/>
      <c r="U46" s="237"/>
      <c r="V46" s="687"/>
      <c r="W46" s="687"/>
      <c r="X46" s="1183"/>
      <c r="Y46" s="5386"/>
      <c r="Z46" s="5245" t="s">
        <v>65</v>
      </c>
      <c r="AA46" s="5386"/>
      <c r="AB46" s="5245" t="s">
        <v>65</v>
      </c>
      <c r="AC46" s="687"/>
      <c r="AD46" s="687"/>
      <c r="AE46" s="1183"/>
      <c r="AF46" s="5386"/>
      <c r="AG46" s="5245" t="s">
        <v>65</v>
      </c>
      <c r="AH46" s="5388"/>
      <c r="AI46" s="5245" t="s">
        <v>65</v>
      </c>
      <c r="AJ46" s="1364"/>
      <c r="AK46"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258</v>
      </c>
      <c r="B47" s="1289" t="s">
        <v>259</v>
      </c>
      <c r="C47" s="1289" t="s">
        <v>260</v>
      </c>
      <c r="D47" s="1289" t="s">
        <v>528</v>
      </c>
      <c r="E47" s="5382"/>
      <c r="F47" s="5382"/>
      <c r="G47" s="5382"/>
      <c r="H47" s="5382"/>
      <c r="I47" s="5384"/>
      <c r="J47" s="5384"/>
      <c r="K47" s="5383"/>
      <c r="L47" s="1290"/>
      <c r="P47" s="5385"/>
      <c r="Q47" s="5385"/>
      <c r="R47" s="293"/>
      <c r="S47" s="1382"/>
      <c r="T47" s="237"/>
      <c r="U47" s="237"/>
      <c r="V47" s="262"/>
      <c r="W47" s="262"/>
      <c r="X47" s="265" t="str">
        <f>Y46&amp;"-"&amp;AA46</f>
        <v>-</v>
      </c>
      <c r="Y47" s="5387"/>
      <c r="Z47" s="5245"/>
      <c r="AA47" s="5387"/>
      <c r="AB47" s="5245"/>
      <c r="AC47" s="262"/>
      <c r="AD47" s="262"/>
      <c r="AE47" s="265" t="str">
        <f>AF46&amp;"-"&amp;AH46</f>
        <v>-</v>
      </c>
      <c r="AF47" s="5387"/>
      <c r="AG47" s="5245"/>
      <c r="AH47" s="5389"/>
      <c r="AI47" s="5245"/>
      <c r="AJ47" s="1365"/>
      <c r="AK47" s="5465"/>
      <c r="AM47" s="436"/>
      <c r="AN47" s="436" t="str">
        <f t="shared" si="1"/>
        <v/>
      </c>
      <c r="AO47" s="436"/>
      <c r="AP47" s="436"/>
      <c r="AQ47" s="1081">
        <v>0</v>
      </c>
    </row>
    <row r="48" spans="1:43" ht="21" customHeight="1">
      <c r="A48" s="1289" t="s">
        <v>258</v>
      </c>
      <c r="B48" s="1289" t="s">
        <v>259</v>
      </c>
      <c r="C48" s="1289" t="s">
        <v>260</v>
      </c>
      <c r="D48" s="1289" t="s">
        <v>528</v>
      </c>
      <c r="E48" s="5382"/>
      <c r="F48" s="5382"/>
      <c r="G48" s="5382"/>
      <c r="H48" s="5382"/>
      <c r="I48" s="5384"/>
      <c r="J48" s="5383"/>
      <c r="K48" s="1289"/>
      <c r="L48" s="1290"/>
      <c r="P48" s="5385"/>
      <c r="Q48" s="5385"/>
      <c r="R48" s="292"/>
      <c r="S48" s="1204"/>
      <c r="T48" s="224" t="s">
        <v>518</v>
      </c>
      <c r="U48" s="303"/>
      <c r="V48" s="303"/>
      <c r="W48" s="303"/>
      <c r="X48" s="303"/>
      <c r="Y48" s="303"/>
      <c r="Z48" s="303"/>
      <c r="AA48" s="303"/>
      <c r="AB48" s="303"/>
      <c r="AC48" s="303"/>
      <c r="AD48" s="303"/>
      <c r="AE48" s="303"/>
      <c r="AF48" s="303"/>
      <c r="AG48" s="303"/>
      <c r="AH48" s="303"/>
      <c r="AI48" s="303"/>
      <c r="AJ48" s="303"/>
      <c r="AK48" s="1184" t="s">
        <v>519</v>
      </c>
      <c r="AM48" s="436"/>
      <c r="AN48" s="436" t="str">
        <f t="shared" si="1"/>
        <v>Добавить значение признака дифференциации</v>
      </c>
      <c r="AO48" s="436"/>
      <c r="AP48" s="436"/>
      <c r="AQ48" s="1081">
        <v>20</v>
      </c>
    </row>
    <row r="49" spans="1:43" ht="21.95" customHeight="1">
      <c r="A49" s="1289" t="s">
        <v>258</v>
      </c>
      <c r="B49" s="1289" t="s">
        <v>259</v>
      </c>
      <c r="C49" s="1289" t="s">
        <v>260</v>
      </c>
      <c r="D49" s="1289" t="s">
        <v>528</v>
      </c>
      <c r="E49" s="5382"/>
      <c r="F49" s="5382"/>
      <c r="G49" s="5382"/>
      <c r="H49" s="5382"/>
      <c r="I49" s="5383"/>
      <c r="J49" s="1289"/>
      <c r="K49" s="1289"/>
      <c r="L49" s="1290"/>
      <c r="P49" s="5385"/>
      <c r="Q49" s="1376"/>
      <c r="R49" s="292"/>
      <c r="S49" s="1204"/>
      <c r="T49" s="301" t="s">
        <v>439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258</v>
      </c>
      <c r="B50" s="1289" t="s">
        <v>259</v>
      </c>
      <c r="C50" s="1289" t="s">
        <v>260</v>
      </c>
      <c r="D50" s="1289" t="s">
        <v>528</v>
      </c>
      <c r="E50" s="5382"/>
      <c r="F50" s="5382"/>
      <c r="G50" s="5382"/>
      <c r="H50" s="5381"/>
      <c r="I50" s="1289"/>
      <c r="J50" s="1289"/>
      <c r="K50" s="1289"/>
      <c r="L50" s="1290"/>
      <c r="M50" s="1291"/>
      <c r="N50" s="1291"/>
      <c r="O50" s="473"/>
      <c r="P50" s="296"/>
      <c r="Q50" s="311"/>
      <c r="R50" s="291"/>
      <c r="S50" s="1204"/>
      <c r="T50" s="308" t="s">
        <v>520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258</v>
      </c>
      <c r="B51" s="1269" t="s">
        <v>259</v>
      </c>
      <c r="C51" s="1240"/>
      <c r="D51" s="1240"/>
      <c r="E51" s="5382"/>
      <c r="F51" s="5381"/>
      <c r="G51" s="1240"/>
      <c r="H51" s="1240"/>
      <c r="I51" s="1240"/>
      <c r="J51" s="1240"/>
      <c r="K51" s="1240"/>
      <c r="L51" s="1384"/>
      <c r="M51" s="1247"/>
      <c r="N51" s="1247"/>
      <c r="P51" s="1242"/>
      <c r="Q51" s="1243"/>
      <c r="R51" s="1242"/>
      <c r="S51" s="1248"/>
      <c r="T51" s="1251" t="s">
        <v>164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258</v>
      </c>
      <c r="B52" s="1269"/>
      <c r="C52" s="1269"/>
      <c r="D52" s="1269"/>
      <c r="E52" s="5381"/>
      <c r="F52" s="1269"/>
      <c r="G52" s="1269"/>
      <c r="H52" s="1269"/>
      <c r="I52" s="1269"/>
      <c r="J52" s="1269"/>
      <c r="K52" s="1269"/>
      <c r="L52" s="1272"/>
      <c r="M52" s="1247"/>
      <c r="N52" s="1247"/>
      <c r="O52" s="454"/>
      <c r="P52" s="316"/>
      <c r="Q52" s="1270"/>
      <c r="R52" s="316"/>
      <c r="S52" s="1248"/>
      <c r="T52" s="1251" t="s">
        <v>165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182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5379"/>
      <c r="U55" s="5379"/>
      <c r="V55" s="5379"/>
      <c r="W55" s="5379"/>
      <c r="X55" s="5379"/>
      <c r="Y55" s="5379"/>
      <c r="Z55" s="5379"/>
      <c r="AA55" s="5379"/>
      <c r="AB55" s="5379"/>
      <c r="AC55" s="5379"/>
      <c r="AD55" s="5379"/>
      <c r="AE55" s="5379"/>
      <c r="AF55" s="5379"/>
      <c r="AG55" s="5379"/>
      <c r="AH55" s="5379"/>
      <c r="AI55" s="5379"/>
      <c r="AJ55" s="5379"/>
      <c r="AK55" s="5379"/>
      <c r="AQ55" s="1081">
        <v>14</v>
      </c>
    </row>
    <row r="56" spans="1:43" ht="14.65" customHeight="1">
      <c r="O56" s="473"/>
      <c r="AQ56" s="1081">
        <v>14</v>
      </c>
    </row>
    <row r="57" spans="1:43" ht="14.65" customHeight="1">
      <c r="O57" s="473"/>
      <c r="S57" s="1179"/>
      <c r="T57" s="5379"/>
      <c r="U57" s="5379"/>
      <c r="V57" s="5379"/>
      <c r="W57" s="5379"/>
      <c r="X57" s="5379"/>
      <c r="Y57" s="5379"/>
      <c r="Z57" s="5379"/>
      <c r="AA57" s="5379"/>
      <c r="AB57" s="5379"/>
      <c r="AC57" s="5379"/>
      <c r="AD57" s="5379"/>
      <c r="AE57" s="5379"/>
      <c r="AF57" s="5379"/>
      <c r="AG57" s="5379"/>
      <c r="AH57" s="5379"/>
      <c r="AI57" s="5379"/>
      <c r="AJ57" s="5379"/>
      <c r="AK57" s="5379"/>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5381">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5373"/>
      <c r="W2" s="5374"/>
      <c r="X2" s="5374"/>
      <c r="Y2" s="5374"/>
      <c r="Z2" s="5374"/>
      <c r="AA2" s="5374"/>
      <c r="AB2" s="5375"/>
      <c r="AC2" s="5373" t="e">
        <f>INDEX(PT_DIFFERENTIATION_NTAR,MATCH(A2,PT_DIFFERENTIATION_NTAR_ID,0))</f>
        <v>#N/A</v>
      </c>
      <c r="AD2" s="5374"/>
      <c r="AE2" s="5374"/>
      <c r="AF2" s="5374"/>
      <c r="AG2" s="5374"/>
      <c r="AH2" s="5374"/>
      <c r="AI2" s="5374"/>
      <c r="AJ2" s="53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5382"/>
      <c r="F3" s="5381">
        <v>1</v>
      </c>
      <c r="G3" s="1289"/>
      <c r="H3" s="1289"/>
      <c r="I3" s="1289"/>
      <c r="J3" s="1289"/>
      <c r="K3" s="1289"/>
      <c r="L3" s="1290"/>
      <c r="M3" s="1291"/>
      <c r="N3" s="1291"/>
      <c r="O3" s="1291"/>
      <c r="P3" s="1379"/>
      <c r="Q3" s="288"/>
      <c r="R3" s="289"/>
      <c r="S3" s="1383" t="e">
        <f>INDEX(PT_DIFFERENTIATION_NUM_TER,MATCH(B3,PT_DIFFERENTIATION_TER_ID,0))</f>
        <v>#N/A</v>
      </c>
      <c r="T3" s="245" t="s">
        <v>424</v>
      </c>
      <c r="U3" s="237"/>
      <c r="V3" s="5373"/>
      <c r="W3" s="5374"/>
      <c r="X3" s="5374"/>
      <c r="Y3" s="5374"/>
      <c r="Z3" s="5374"/>
      <c r="AA3" s="5374"/>
      <c r="AB3" s="5375"/>
      <c r="AC3" s="5373" t="e">
        <f>INDEX(PT_DIFFERENTIATION_TER,MATCH(B3,PT_DIFFERENTIATION_TER_ID,0))</f>
        <v>#N/A</v>
      </c>
      <c r="AD3" s="5374"/>
      <c r="AE3" s="5374"/>
      <c r="AF3" s="5374"/>
      <c r="AG3" s="5374"/>
      <c r="AH3" s="5374"/>
      <c r="AI3" s="5374"/>
      <c r="AJ3" s="5375"/>
      <c r="AK3" s="1184" t="s">
        <v>425</v>
      </c>
      <c r="AM3" s="436"/>
      <c r="AN3" s="436" t="str">
        <f t="shared" si="0"/>
        <v>Территория действия тарифа</v>
      </c>
      <c r="AO3" s="436"/>
      <c r="AP3" s="436"/>
      <c r="AQ3" s="1081">
        <v>0</v>
      </c>
    </row>
    <row r="4" spans="1:43" ht="23.25" hidden="1" customHeight="1">
      <c r="A4" s="1289"/>
      <c r="B4" s="1289"/>
      <c r="C4" s="1289"/>
      <c r="D4" s="1289"/>
      <c r="E4" s="5382"/>
      <c r="F4" s="5382"/>
      <c r="G4" s="5381">
        <v>1</v>
      </c>
      <c r="H4" s="1289"/>
      <c r="I4" s="1289"/>
      <c r="J4" s="1289"/>
      <c r="K4" s="1289"/>
      <c r="L4" s="1290"/>
      <c r="M4" s="1291"/>
      <c r="N4" s="1291"/>
      <c r="O4" s="1291"/>
      <c r="P4" s="290"/>
      <c r="Q4" s="288"/>
      <c r="R4" s="289"/>
      <c r="S4" s="1383" t="e">
        <f>INDEX(PT_DIFFERENTIATION_NUM_CS,MATCH(C4,PT_DIFFERENTIATION_CS_ID,0))</f>
        <v>#N/A</v>
      </c>
      <c r="T4" s="246" t="s">
        <v>513</v>
      </c>
      <c r="U4" s="237"/>
      <c r="V4" s="5373"/>
      <c r="W4" s="5374"/>
      <c r="X4" s="5374"/>
      <c r="Y4" s="5374"/>
      <c r="Z4" s="5374"/>
      <c r="AA4" s="5374"/>
      <c r="AB4" s="5375"/>
      <c r="AC4" s="5373" t="e">
        <f>INDEX(PT_DIFFERENTIATION_CS,MATCH(C4,PT_DIFFERENTIATION_CS_ID,0))</f>
        <v>#N/A</v>
      </c>
      <c r="AD4" s="5374"/>
      <c r="AE4" s="5374"/>
      <c r="AF4" s="5374"/>
      <c r="AG4" s="5374"/>
      <c r="AH4" s="5374"/>
      <c r="AI4" s="5374"/>
      <c r="AJ4" s="5375"/>
      <c r="AK4" s="1184" t="s">
        <v>514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5382"/>
      <c r="F5" s="5382"/>
      <c r="G5" s="5382"/>
      <c r="H5" s="5382"/>
      <c r="I5" s="5383" t="e">
        <f>S4&amp;".1"</f>
        <v>#N/A</v>
      </c>
      <c r="J5" s="1289"/>
      <c r="K5" s="1289"/>
      <c r="L5" s="1290"/>
      <c r="P5" s="5385">
        <v>1</v>
      </c>
      <c r="Q5" s="1376"/>
      <c r="R5" s="292"/>
      <c r="S5" s="1383" t="e">
        <f>$I5</f>
        <v>#N/A</v>
      </c>
      <c r="T5" s="222" t="s">
        <v>515</v>
      </c>
      <c r="U5" s="237"/>
      <c r="V5" s="5459"/>
      <c r="W5" s="5460"/>
      <c r="X5" s="5460"/>
      <c r="Y5" s="5460"/>
      <c r="Z5" s="5460"/>
      <c r="AA5" s="5460"/>
      <c r="AB5" s="5461"/>
      <c r="AC5" s="5462"/>
      <c r="AD5" s="5463"/>
      <c r="AE5" s="5463"/>
      <c r="AF5" s="5463"/>
      <c r="AG5" s="5463"/>
      <c r="AH5" s="5463"/>
      <c r="AI5" s="5463"/>
      <c r="AJ5" s="5464"/>
      <c r="AK5" s="1184" t="s">
        <v>516</v>
      </c>
      <c r="AM5" s="436"/>
      <c r="AN5" s="436" t="str">
        <f t="shared" si="0"/>
        <v>Наименование признака дифференциации</v>
      </c>
      <c r="AO5" s="436"/>
      <c r="AP5" s="436"/>
      <c r="AQ5" s="1081">
        <v>0</v>
      </c>
    </row>
    <row r="6" spans="1:43" ht="23.25" hidden="1" customHeight="1">
      <c r="A6" s="1289"/>
      <c r="B6" s="1289"/>
      <c r="C6" s="1289"/>
      <c r="D6" s="1289"/>
      <c r="E6" s="5382"/>
      <c r="F6" s="5382"/>
      <c r="G6" s="5382"/>
      <c r="H6" s="5382"/>
      <c r="I6" s="5384"/>
      <c r="J6" s="5383" t="e">
        <f>I5&amp;".1"</f>
        <v>#N/A</v>
      </c>
      <c r="K6" s="1289"/>
      <c r="L6" s="1290" t="s">
        <v>433</v>
      </c>
      <c r="P6" s="5385"/>
      <c r="Q6" s="5385">
        <v>1</v>
      </c>
      <c r="R6" s="293"/>
      <c r="S6" s="1383" t="e">
        <f>$J6</f>
        <v>#N/A</v>
      </c>
      <c r="T6" s="223" t="s">
        <v>434</v>
      </c>
      <c r="U6" s="237"/>
      <c r="V6" s="5366"/>
      <c r="W6" s="5367"/>
      <c r="X6" s="5367"/>
      <c r="Y6" s="5367"/>
      <c r="Z6" s="5367"/>
      <c r="AA6" s="5367"/>
      <c r="AB6" s="5368"/>
      <c r="AC6" s="5366"/>
      <c r="AD6" s="5367"/>
      <c r="AE6" s="5367"/>
      <c r="AF6" s="5367"/>
      <c r="AG6" s="5367"/>
      <c r="AH6" s="5367"/>
      <c r="AI6" s="5367"/>
      <c r="AJ6" s="5368"/>
      <c r="AK6" s="1233" t="s">
        <v>517</v>
      </c>
      <c r="AM6" s="436"/>
      <c r="AN6" s="436" t="str">
        <f t="shared" si="0"/>
        <v>Группа потребителей</v>
      </c>
      <c r="AO6" s="436"/>
      <c r="AP6" s="436"/>
      <c r="AQ6" s="1081">
        <v>0</v>
      </c>
    </row>
    <row r="7" spans="1:43" ht="23.25" hidden="1" customHeight="1">
      <c r="A7" s="1289"/>
      <c r="B7" s="1289"/>
      <c r="C7" s="1289"/>
      <c r="D7" s="1289"/>
      <c r="E7" s="5382"/>
      <c r="F7" s="5382"/>
      <c r="G7" s="5382"/>
      <c r="H7" s="5382"/>
      <c r="I7" s="5384"/>
      <c r="J7" s="5384"/>
      <c r="K7" s="5383" t="e">
        <f>J6&amp;".1"</f>
        <v>#N/A</v>
      </c>
      <c r="L7" s="1290"/>
      <c r="P7" s="5385"/>
      <c r="Q7" s="5385"/>
      <c r="R7" s="293">
        <v>1</v>
      </c>
      <c r="S7" s="1383" t="e">
        <f>$K7</f>
        <v>#N/A</v>
      </c>
      <c r="T7" s="1363"/>
      <c r="U7" s="237"/>
      <c r="V7" s="687"/>
      <c r="W7" s="687"/>
      <c r="X7" s="1183"/>
      <c r="Y7" s="5386"/>
      <c r="Z7" s="5245" t="s">
        <v>65</v>
      </c>
      <c r="AA7" s="5386"/>
      <c r="AB7" s="5245" t="s">
        <v>65</v>
      </c>
      <c r="AC7" s="687"/>
      <c r="AD7" s="687"/>
      <c r="AE7" s="1183"/>
      <c r="AF7" s="5386"/>
      <c r="AG7" s="5245" t="s">
        <v>65</v>
      </c>
      <c r="AH7" s="5388"/>
      <c r="AI7" s="5245" t="s">
        <v>65</v>
      </c>
      <c r="AJ7" s="1364"/>
      <c r="AK7"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5382"/>
      <c r="F8" s="5382"/>
      <c r="G8" s="5382"/>
      <c r="H8" s="5382"/>
      <c r="I8" s="5384"/>
      <c r="J8" s="5384"/>
      <c r="K8" s="5383"/>
      <c r="L8" s="1290"/>
      <c r="P8" s="5385"/>
      <c r="Q8" s="5385"/>
      <c r="R8" s="293"/>
      <c r="S8" s="1382"/>
      <c r="T8" s="237"/>
      <c r="U8" s="237"/>
      <c r="V8" s="262"/>
      <c r="W8" s="262"/>
      <c r="X8" s="265" t="str">
        <f>Y7&amp;"-"&amp;AA7</f>
        <v>-</v>
      </c>
      <c r="Y8" s="5387"/>
      <c r="Z8" s="5245"/>
      <c r="AA8" s="5387"/>
      <c r="AB8" s="5245"/>
      <c r="AC8" s="262"/>
      <c r="AD8" s="262"/>
      <c r="AE8" s="265" t="str">
        <f>AF7&amp;"-"&amp;AH7</f>
        <v>-</v>
      </c>
      <c r="AF8" s="5387"/>
      <c r="AG8" s="5245"/>
      <c r="AH8" s="5389"/>
      <c r="AI8" s="5245"/>
      <c r="AJ8" s="1365"/>
      <c r="AK8" s="5465"/>
      <c r="AM8" s="436"/>
      <c r="AN8" s="436" t="str">
        <f t="shared" si="0"/>
        <v/>
      </c>
      <c r="AO8" s="436"/>
      <c r="AP8" s="436"/>
      <c r="AQ8" s="1081">
        <v>0</v>
      </c>
    </row>
    <row r="9" spans="1:43" ht="21" hidden="1" customHeight="1">
      <c r="A9" s="1289"/>
      <c r="B9" s="1289"/>
      <c r="C9" s="1289"/>
      <c r="D9" s="1289"/>
      <c r="E9" s="5382"/>
      <c r="F9" s="5382"/>
      <c r="G9" s="5382"/>
      <c r="H9" s="5382"/>
      <c r="I9" s="5384"/>
      <c r="J9" s="5383"/>
      <c r="K9" s="1289"/>
      <c r="L9" s="1290"/>
      <c r="P9" s="5385"/>
      <c r="Q9" s="5385"/>
      <c r="R9" s="292"/>
      <c r="S9" s="1204"/>
      <c r="T9" s="224" t="s">
        <v>518</v>
      </c>
      <c r="U9" s="303"/>
      <c r="V9" s="303"/>
      <c r="W9" s="303"/>
      <c r="X9" s="303"/>
      <c r="Y9" s="303"/>
      <c r="Z9" s="303"/>
      <c r="AA9" s="303"/>
      <c r="AB9" s="303"/>
      <c r="AC9" s="303"/>
      <c r="AD9" s="303"/>
      <c r="AE9" s="303"/>
      <c r="AF9" s="303"/>
      <c r="AG9" s="303"/>
      <c r="AH9" s="303"/>
      <c r="AI9" s="303"/>
      <c r="AJ9" s="303"/>
      <c r="AK9" s="1184" t="s">
        <v>519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5382"/>
      <c r="F10" s="5382"/>
      <c r="G10" s="5382"/>
      <c r="H10" s="5382"/>
      <c r="I10" s="5383"/>
      <c r="J10" s="1289"/>
      <c r="K10" s="1289"/>
      <c r="L10" s="1290"/>
      <c r="P10" s="5385"/>
      <c r="Q10" s="1376"/>
      <c r="R10" s="292"/>
      <c r="S10" s="1204"/>
      <c r="T10" s="301" t="s">
        <v>439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5382"/>
      <c r="F11" s="5382"/>
      <c r="G11" s="5382"/>
      <c r="H11" s="5381"/>
      <c r="I11" s="1289"/>
      <c r="J11" s="1289"/>
      <c r="K11" s="1289"/>
      <c r="L11" s="1290"/>
      <c r="M11" s="1291"/>
      <c r="N11" s="1291"/>
      <c r="O11" s="473"/>
      <c r="P11" s="296"/>
      <c r="Q11" s="311"/>
      <c r="R11" s="291"/>
      <c r="S11" s="1204"/>
      <c r="T11" s="308" t="s">
        <v>520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5382"/>
      <c r="F12" s="5381"/>
      <c r="G12" s="1240"/>
      <c r="H12" s="1240"/>
      <c r="I12" s="1240"/>
      <c r="J12" s="1240"/>
      <c r="K12" s="1240"/>
      <c r="L12" s="1384"/>
      <c r="M12" s="1247"/>
      <c r="N12" s="1247"/>
      <c r="P12" s="1242"/>
      <c r="Q12" s="1243"/>
      <c r="R12" s="1242"/>
      <c r="S12" s="1248"/>
      <c r="T12" s="1251" t="s">
        <v>164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5381"/>
      <c r="F13" s="1269"/>
      <c r="G13" s="1269"/>
      <c r="H13" s="1269"/>
      <c r="I13" s="1269"/>
      <c r="J13" s="1269"/>
      <c r="K13" s="1269"/>
      <c r="L13" s="1272"/>
      <c r="M13" s="1247"/>
      <c r="N13" s="1247"/>
      <c r="O13" s="454"/>
      <c r="P13" s="316"/>
      <c r="Q13" s="1270"/>
      <c r="R13" s="316"/>
      <c r="S13" s="1248"/>
      <c r="T13" s="1251" t="s">
        <v>165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5378"/>
      <c r="AG15" s="5377" t="s">
        <v>65</v>
      </c>
      <c r="AH15" s="5378"/>
      <c r="AI15" s="5377" t="s">
        <v>65</v>
      </c>
      <c r="AQ15" s="1081">
        <v>0</v>
      </c>
    </row>
    <row r="16" spans="1:43" ht="14.25" hidden="1" customHeight="1">
      <c r="AC16" s="1286"/>
      <c r="AD16" s="1286"/>
      <c r="AE16" s="265" t="str">
        <f>AF15&amp;"-"&amp;AH15</f>
        <v>-</v>
      </c>
      <c r="AF16" s="5377"/>
      <c r="AG16" s="5377"/>
      <c r="AH16" s="5377"/>
      <c r="AI16" s="5377"/>
      <c r="AQ16" s="1081">
        <v>0</v>
      </c>
    </row>
    <row r="17" spans="1:43" ht="14.25" hidden="1" customHeight="1">
      <c r="AI17" s="264"/>
      <c r="AQ17" s="1081">
        <v>0</v>
      </c>
    </row>
    <row r="18" spans="1:43" s="1292" customFormat="1" ht="22.5" hidden="1" customHeight="1">
      <c r="L18" s="1373"/>
      <c r="M18" s="1288"/>
      <c r="N18" s="1288"/>
      <c r="O18" s="1293" t="s">
        <v>441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442</v>
      </c>
      <c r="P20" s="1288"/>
      <c r="Q20" s="1368"/>
      <c r="R20" s="1368"/>
      <c r="S20" s="665"/>
      <c r="T20" s="1086" t="s">
        <v>443</v>
      </c>
      <c r="Z20" s="124" t="s">
        <v>444</v>
      </c>
      <c r="AB20" s="124" t="s">
        <v>445</v>
      </c>
      <c r="AC20" s="1086" t="s">
        <v>443</v>
      </c>
      <c r="AG20" s="124" t="s">
        <v>446</v>
      </c>
      <c r="AI20" s="124" t="s">
        <v>445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535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359"/>
      <c r="U24" s="5359"/>
      <c r="V24" s="5359"/>
      <c r="W24" s="5359"/>
      <c r="X24" s="5359"/>
      <c r="Y24" s="5359"/>
      <c r="Z24" s="5359"/>
      <c r="AA24" s="5359"/>
      <c r="AB24" s="5359"/>
      <c r="AC24" s="5359"/>
      <c r="AD24" s="5359"/>
      <c r="AE24" s="5359"/>
      <c r="AF24" s="5359"/>
      <c r="AG24" s="5359"/>
      <c r="AH24" s="5359"/>
      <c r="AI24" s="1169"/>
      <c r="AQ24" s="1081">
        <v>14</v>
      </c>
    </row>
    <row r="25" spans="1:43" ht="14.65" customHeight="1">
      <c r="Q25" s="312"/>
      <c r="R25" s="312"/>
      <c r="S25" s="5331" t="str">
        <f>IF(org=0,"Не определено",org)</f>
        <v>ПАО "ТГК-1" филиал "Невский"</v>
      </c>
      <c r="T25" s="5331"/>
      <c r="U25" s="5331"/>
      <c r="V25" s="5331"/>
      <c r="W25" s="5331"/>
      <c r="X25" s="5331"/>
      <c r="Y25" s="5331"/>
      <c r="Z25" s="5331"/>
      <c r="AA25" s="5331"/>
      <c r="AB25" s="5331"/>
      <c r="AC25" s="5331"/>
      <c r="AD25" s="5331"/>
      <c r="AE25" s="5331"/>
      <c r="AF25" s="5331"/>
      <c r="AG25" s="5331"/>
      <c r="AH25" s="5331"/>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5370" t="s">
        <v>42</v>
      </c>
      <c r="T27" s="5370"/>
      <c r="U27" s="1298"/>
      <c r="V27" s="5372" t="str">
        <f>IF(TITLE_NAME_OR_PR_CHANGE="",IF(TITLE_NAME_OR_PR="","",TITLE_NAME_OR_PR),TITLE_NAME_OR_PR_CHANGE)</f>
        <v>Комитет по тарифам Санкт-Петербурга</v>
      </c>
      <c r="W27" s="5372"/>
      <c r="X27" s="5372"/>
      <c r="Y27" s="5372"/>
      <c r="Z27" s="5372"/>
      <c r="AA27" s="5372"/>
      <c r="AB27" s="263"/>
      <c r="AC27" s="5372" t="str">
        <f>IF(TITLE_NAME_OR_PR_CHANGE="",IF(TITLE_NAME_OR_PR="","",TITLE_NAME_OR_PR),TITLE_NAME_OR_PR_CHANGE)</f>
        <v>Комитет по тарифам Санкт-Петербурга</v>
      </c>
      <c r="AD27" s="5372"/>
      <c r="AE27" s="5372"/>
      <c r="AF27" s="5372"/>
      <c r="AG27" s="5372"/>
      <c r="AH27" s="5372"/>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5370" t="s">
        <v>447</v>
      </c>
      <c r="T28" s="5370"/>
      <c r="U28" s="1298"/>
      <c r="V28" s="5371">
        <f>IF(TITLE_DATE_PR_CHANGE="",IF(TITLE_DATE_PR="","",TITLE_DATE_PR),TITLE_DATE_PR_CHANGE)</f>
        <v>45470</v>
      </c>
      <c r="W28" s="5371"/>
      <c r="X28" s="5371"/>
      <c r="Y28" s="5371"/>
      <c r="Z28" s="5371"/>
      <c r="AA28" s="5371"/>
      <c r="AB28" s="263"/>
      <c r="AC28" s="5371">
        <f>IF(TITLE_DATE_PR_CHANGE="",IF(TITLE_DATE_PR="","",TITLE_DATE_PR),TITLE_DATE_PR_CHANGE)</f>
        <v>45470</v>
      </c>
      <c r="AD28" s="5371"/>
      <c r="AE28" s="5371"/>
      <c r="AF28" s="5371"/>
      <c r="AG28" s="5371"/>
      <c r="AH28" s="5371"/>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5370" t="s">
        <v>448</v>
      </c>
      <c r="T29" s="5370"/>
      <c r="U29" s="1298"/>
      <c r="V29" s="5372" t="str">
        <f>IF(TITLE_NUMBER_PR_CHANGE="",IF(TITLE_NUMBER_PR="","",TITLE_NUMBER_PR),TITLE_NUMBER_PR_CHANGE)</f>
        <v>94-р</v>
      </c>
      <c r="W29" s="5372"/>
      <c r="X29" s="5372"/>
      <c r="Y29" s="5372"/>
      <c r="Z29" s="5372"/>
      <c r="AA29" s="5372"/>
      <c r="AB29" s="263"/>
      <c r="AC29" s="5372" t="str">
        <f>IF(TITLE_NUMBER_PR_CHANGE="",IF(TITLE_NUMBER_PR="","",TITLE_NUMBER_PR),TITLE_NUMBER_PR_CHANGE)</f>
        <v>94-р</v>
      </c>
      <c r="AD29" s="5372"/>
      <c r="AE29" s="5372"/>
      <c r="AF29" s="5372"/>
      <c r="AG29" s="5372"/>
      <c r="AH29" s="5372"/>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5370" t="s">
        <v>44</v>
      </c>
      <c r="T30" s="5370"/>
      <c r="U30" s="1298"/>
      <c r="V30" s="5372" t="str">
        <f>IF(TITLE_IST_PUB_CHANGE="",IF(TITLE_IST_PUB="","",TITLE_IST_PUB),TITLE_IST_PUB_CHANGE)</f>
        <v>http://publication.pravo.gov.ru/document/7801202407010029</v>
      </c>
      <c r="W30" s="5372"/>
      <c r="X30" s="5372"/>
      <c r="Y30" s="5372"/>
      <c r="Z30" s="5372"/>
      <c r="AA30" s="5372"/>
      <c r="AB30" s="263"/>
      <c r="AC30" s="5372" t="str">
        <f>IF(TITLE_IST_PUB_CHANGE="",IF(TITLE_IST_PUB="","",TITLE_IST_PUB),TITLE_IST_PUB_CHANGE)</f>
        <v>http://publication.pravo.gov.ru/document/7801202407010029</v>
      </c>
      <c r="AD30" s="5372"/>
      <c r="AE30" s="5372"/>
      <c r="AF30" s="5372"/>
      <c r="AG30" s="5372"/>
      <c r="AH30" s="537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5370" t="s">
        <v>449</v>
      </c>
      <c r="T32" s="5370"/>
      <c r="U32" s="1298"/>
      <c r="V32" s="5371">
        <f>IF(TITLE_DATE_PR_CHANGE="",IF(TITLE_DATE_PR="","",TITLE_DATE_PR),TITLE_DATE_PR_CHANGE)</f>
        <v>45470</v>
      </c>
      <c r="W32" s="5371"/>
      <c r="X32" s="5371"/>
      <c r="Y32" s="5371"/>
      <c r="Z32" s="5371"/>
      <c r="AA32" s="5371"/>
      <c r="AB32" s="263"/>
      <c r="AC32" s="5371">
        <f>IF(TITLE_DATE_PR_CHANGE="",IF(TITLE_DATE_PR="","",TITLE_DATE_PR),TITLE_DATE_PR_CHANGE)</f>
        <v>45470</v>
      </c>
      <c r="AD32" s="5371"/>
      <c r="AE32" s="5371"/>
      <c r="AF32" s="5371"/>
      <c r="AG32" s="5371"/>
      <c r="AH32" s="5371"/>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5370" t="s">
        <v>450</v>
      </c>
      <c r="T33" s="5370"/>
      <c r="U33" s="1298"/>
      <c r="V33" s="5372" t="str">
        <f>IF(TITLE_NUMBER_PR_CHANGE="",IF(TITLE_NUMBER_PR="","",TITLE_NUMBER_PR),TITLE_NUMBER_PR_CHANGE)</f>
        <v>94-р</v>
      </c>
      <c r="W33" s="5372"/>
      <c r="X33" s="5372"/>
      <c r="Y33" s="5372"/>
      <c r="Z33" s="5372"/>
      <c r="AA33" s="5372"/>
      <c r="AB33" s="263"/>
      <c r="AC33" s="5372" t="str">
        <f>IF(TITLE_NUMBER_PR_CHANGE="",IF(TITLE_NUMBER_PR="","",TITLE_NUMBER_PR),TITLE_NUMBER_PR_CHANGE)</f>
        <v>94-р</v>
      </c>
      <c r="AD33" s="5372"/>
      <c r="AE33" s="5372"/>
      <c r="AF33" s="5372"/>
      <c r="AG33" s="5372"/>
      <c r="AH33" s="537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451</v>
      </c>
      <c r="AC34" s="263"/>
      <c r="AD34" s="263"/>
      <c r="AE34" s="263"/>
      <c r="AF34" s="263"/>
      <c r="AG34" s="263"/>
      <c r="AH34" s="263"/>
      <c r="AI34" s="215" t="s">
        <v>451</v>
      </c>
      <c r="AL34" s="304"/>
      <c r="AM34" s="304"/>
      <c r="AN34" s="304"/>
      <c r="AO34" s="304"/>
      <c r="AP34" s="304"/>
      <c r="AQ34" s="354">
        <v>1</v>
      </c>
    </row>
    <row r="35" spans="1:43" ht="14.65" customHeight="1">
      <c r="Q35" s="312"/>
      <c r="R35" s="312"/>
      <c r="S35" s="1201"/>
      <c r="T35" s="299"/>
      <c r="U35" s="1170"/>
      <c r="V35" s="5393"/>
      <c r="W35" s="5393"/>
      <c r="X35" s="5393"/>
      <c r="Y35" s="5393"/>
      <c r="Z35" s="5393"/>
      <c r="AA35" s="5393"/>
      <c r="AB35" s="5393"/>
      <c r="AC35" s="5393"/>
      <c r="AD35" s="5393"/>
      <c r="AE35" s="5393"/>
      <c r="AF35" s="5393"/>
      <c r="AG35" s="5393"/>
      <c r="AH35" s="5393"/>
      <c r="AI35" s="5393"/>
      <c r="AQ35" s="1081">
        <v>14</v>
      </c>
    </row>
    <row r="36" spans="1:43" ht="14.65" customHeight="1">
      <c r="Q36" s="312"/>
      <c r="R36" s="312"/>
      <c r="S36" s="5235" t="s">
        <v>327</v>
      </c>
      <c r="T36" s="5235"/>
      <c r="U36" s="5235"/>
      <c r="V36" s="5235"/>
      <c r="W36" s="5235"/>
      <c r="X36" s="5235"/>
      <c r="Y36" s="5235"/>
      <c r="Z36" s="5235"/>
      <c r="AA36" s="5235"/>
      <c r="AB36" s="5235"/>
      <c r="AC36" s="5235"/>
      <c r="AD36" s="5235"/>
      <c r="AE36" s="5235"/>
      <c r="AF36" s="5235"/>
      <c r="AG36" s="5235"/>
      <c r="AH36" s="5235"/>
      <c r="AI36" s="5235"/>
      <c r="AJ36" s="5235"/>
      <c r="AK36" s="5235" t="s">
        <v>328</v>
      </c>
      <c r="AQ36" s="1081">
        <v>14</v>
      </c>
    </row>
    <row r="37" spans="1:43" ht="14.65" customHeight="1">
      <c r="Q37" s="312"/>
      <c r="R37" s="312"/>
      <c r="S37" s="5395" t="s">
        <v>90</v>
      </c>
      <c r="T37" s="5339" t="s">
        <v>452</v>
      </c>
      <c r="U37" s="238"/>
      <c r="V37" s="5396" t="s">
        <v>453</v>
      </c>
      <c r="W37" s="5397"/>
      <c r="X37" s="5397"/>
      <c r="Y37" s="5397"/>
      <c r="Z37" s="5397"/>
      <c r="AA37" s="5398"/>
      <c r="AB37" s="5399" t="s">
        <v>454</v>
      </c>
      <c r="AC37" s="5396" t="s">
        <v>453</v>
      </c>
      <c r="AD37" s="5397"/>
      <c r="AE37" s="5397"/>
      <c r="AF37" s="5397"/>
      <c r="AG37" s="5397"/>
      <c r="AH37" s="5398"/>
      <c r="AI37" s="5399" t="s">
        <v>455</v>
      </c>
      <c r="AJ37" s="5402" t="s">
        <v>456</v>
      </c>
      <c r="AK37" s="5235"/>
      <c r="AQ37" s="1081">
        <v>14</v>
      </c>
    </row>
    <row r="38" spans="1:43" ht="35.65" customHeight="1">
      <c r="Q38" s="312"/>
      <c r="R38" s="312"/>
      <c r="S38" s="5395"/>
      <c r="T38" s="5339"/>
      <c r="U38" s="960"/>
      <c r="V38" s="1378" t="s">
        <v>521</v>
      </c>
      <c r="W38" s="5217" t="s">
        <v>459</v>
      </c>
      <c r="X38" s="5216"/>
      <c r="Y38" s="5217" t="s">
        <v>460</v>
      </c>
      <c r="Z38" s="5222"/>
      <c r="AA38" s="5216"/>
      <c r="AB38" s="5400"/>
      <c r="AC38" s="1378" t="s">
        <v>521</v>
      </c>
      <c r="AD38" s="5217" t="s">
        <v>459</v>
      </c>
      <c r="AE38" s="5216"/>
      <c r="AF38" s="5217" t="s">
        <v>460</v>
      </c>
      <c r="AG38" s="5222"/>
      <c r="AH38" s="5216"/>
      <c r="AI38" s="5400"/>
      <c r="AJ38" s="5403"/>
      <c r="AK38" s="5235"/>
      <c r="AQ38" s="1081">
        <v>34</v>
      </c>
    </row>
    <row r="39" spans="1:43" ht="35.65" customHeight="1">
      <c r="A39" s="1296"/>
      <c r="B39" s="1296" t="s">
        <v>137</v>
      </c>
      <c r="C39" s="1296" t="s">
        <v>138</v>
      </c>
      <c r="D39" s="1296" t="s">
        <v>139</v>
      </c>
      <c r="E39" s="1290" t="s">
        <v>461</v>
      </c>
      <c r="F39" s="1290" t="s">
        <v>462</v>
      </c>
      <c r="G39" s="1290" t="s">
        <v>463</v>
      </c>
      <c r="H39" s="1290"/>
      <c r="I39" s="1290" t="s">
        <v>522</v>
      </c>
      <c r="J39" s="1290" t="s">
        <v>466</v>
      </c>
      <c r="K39" s="1290" t="s">
        <v>523</v>
      </c>
      <c r="L39" s="1290" t="s">
        <v>442</v>
      </c>
      <c r="Q39" s="312"/>
      <c r="R39" s="312"/>
      <c r="S39" s="5395"/>
      <c r="T39" s="5339"/>
      <c r="U39" s="239"/>
      <c r="V39" s="1378" t="s">
        <v>524</v>
      </c>
      <c r="W39" s="1148" t="s">
        <v>525</v>
      </c>
      <c r="X39" s="1148" t="s">
        <v>526</v>
      </c>
      <c r="Y39" s="1381" t="s">
        <v>470</v>
      </c>
      <c r="Z39" s="5344" t="s">
        <v>471</v>
      </c>
      <c r="AA39" s="5358"/>
      <c r="AB39" s="5401"/>
      <c r="AC39" s="1378" t="s">
        <v>524</v>
      </c>
      <c r="AD39" s="1148" t="s">
        <v>525</v>
      </c>
      <c r="AE39" s="1148" t="s">
        <v>526</v>
      </c>
      <c r="AF39" s="1381" t="s">
        <v>470</v>
      </c>
      <c r="AG39" s="5344" t="s">
        <v>471</v>
      </c>
      <c r="AH39" s="5358"/>
      <c r="AI39" s="5401"/>
      <c r="AJ39" s="5404"/>
      <c r="AK39" s="5235"/>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5392">
        <f ca="1">OFFSET(Z40,0,-1)+1</f>
        <v>7</v>
      </c>
      <c r="AA40" s="5392"/>
      <c r="AB40" s="1377">
        <f ca="1">OFFSET(AB40,0,-2)+1</f>
        <v>8</v>
      </c>
      <c r="AC40" s="1377">
        <f ca="1">OFFSET(AC40,0,-1)+1</f>
        <v>9</v>
      </c>
      <c r="AD40" s="1377">
        <f ca="1">OFFSET(AD40,0,-1)+1</f>
        <v>10</v>
      </c>
      <c r="AE40" s="1377">
        <f ca="1">OFFSET(AE40,0,-1)+1</f>
        <v>11</v>
      </c>
      <c r="AF40" s="1377">
        <f ca="1">OFFSET(AF40,0,-1)+1</f>
        <v>12</v>
      </c>
      <c r="AG40" s="5392">
        <f ca="1">OFFSET(AG40,0,-1)+1</f>
        <v>13</v>
      </c>
      <c r="AH40" s="5392"/>
      <c r="AI40" s="1377">
        <f ca="1">OFFSET(AI40,0,-2)+1</f>
        <v>14</v>
      </c>
      <c r="AJ40" s="1171">
        <f ca="1">OFFSET(AJ40,0,-1)</f>
        <v>14</v>
      </c>
      <c r="AK40" s="1377">
        <f ca="1">OFFSET(AK40,0,-1)+1</f>
        <v>15</v>
      </c>
      <c r="AL40" s="447"/>
      <c r="AM40" s="447"/>
      <c r="AN40" s="447"/>
      <c r="AO40" s="447"/>
      <c r="AP40" s="447"/>
      <c r="AQ40" s="432">
        <v>0</v>
      </c>
    </row>
    <row r="41" spans="1:43" ht="24" customHeight="1">
      <c r="A41" s="1289" t="s">
        <v>263</v>
      </c>
      <c r="B41" s="1289"/>
      <c r="C41" s="1289"/>
      <c r="D41" s="1289"/>
      <c r="E41" s="538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5373"/>
      <c r="W41" s="5374"/>
      <c r="X41" s="5374"/>
      <c r="Y41" s="5374"/>
      <c r="Z41" s="5374"/>
      <c r="AA41" s="5374"/>
      <c r="AB41" s="5375"/>
      <c r="AC41" s="5373" t="str">
        <f>INDEX(PT_DIFFERENTIATION_NTAR,MATCH(A41,PT_DIFFERENTIATION_NTAR_ID,0))</f>
        <v/>
      </c>
      <c r="AD41" s="5374"/>
      <c r="AE41" s="5374"/>
      <c r="AF41" s="5374"/>
      <c r="AG41" s="5374"/>
      <c r="AH41" s="5374"/>
      <c r="AI41" s="5374"/>
      <c r="AJ41" s="53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263</v>
      </c>
      <c r="B42" s="1289" t="s">
        <v>264</v>
      </c>
      <c r="C42" s="1289"/>
      <c r="D42" s="1289"/>
      <c r="E42" s="5382"/>
      <c r="F42" s="5381">
        <v>1</v>
      </c>
      <c r="G42" s="1289"/>
      <c r="H42" s="1289"/>
      <c r="I42" s="1289"/>
      <c r="J42" s="1289"/>
      <c r="K42" s="1289"/>
      <c r="L42" s="1290"/>
      <c r="M42" s="1291"/>
      <c r="N42" s="1291"/>
      <c r="O42" s="1291"/>
      <c r="P42" s="1379"/>
      <c r="Q42" s="288"/>
      <c r="R42" s="289"/>
      <c r="S42" s="1383" t="str">
        <f>INDEX(PT_DIFFERENTIATION_NUM_TER,MATCH(B42,PT_DIFFERENTIATION_TER_ID,0))</f>
        <v>.</v>
      </c>
      <c r="T42" s="245" t="s">
        <v>424</v>
      </c>
      <c r="U42" s="237"/>
      <c r="V42" s="5373"/>
      <c r="W42" s="5374"/>
      <c r="X42" s="5374"/>
      <c r="Y42" s="5374"/>
      <c r="Z42" s="5374"/>
      <c r="AA42" s="5374"/>
      <c r="AB42" s="5375"/>
      <c r="AC42" s="5373" t="str">
        <f>INDEX(PT_DIFFERENTIATION_TER,MATCH(B42,PT_DIFFERENTIATION_TER_ID,0))</f>
        <v/>
      </c>
      <c r="AD42" s="5374"/>
      <c r="AE42" s="5374"/>
      <c r="AF42" s="5374"/>
      <c r="AG42" s="5374"/>
      <c r="AH42" s="5374"/>
      <c r="AI42" s="5374"/>
      <c r="AJ42" s="5375"/>
      <c r="AK42" s="1184" t="s">
        <v>425</v>
      </c>
      <c r="AM42" s="436"/>
      <c r="AN42" s="436" t="str">
        <f t="shared" si="1"/>
        <v>Территория действия тарифа</v>
      </c>
      <c r="AO42" s="436"/>
      <c r="AP42" s="436"/>
      <c r="AQ42" s="1081">
        <v>23</v>
      </c>
    </row>
    <row r="43" spans="1:43" ht="24" customHeight="1">
      <c r="A43" s="1289" t="s">
        <v>263</v>
      </c>
      <c r="B43" s="1289" t="s">
        <v>264</v>
      </c>
      <c r="C43" s="1289" t="s">
        <v>265</v>
      </c>
      <c r="D43" s="1289"/>
      <c r="E43" s="5382"/>
      <c r="F43" s="5382"/>
      <c r="G43" s="5381">
        <v>1</v>
      </c>
      <c r="H43" s="1289"/>
      <c r="I43" s="1289"/>
      <c r="J43" s="1289"/>
      <c r="K43" s="1289"/>
      <c r="L43" s="1290"/>
      <c r="M43" s="1291"/>
      <c r="N43" s="1291"/>
      <c r="O43" s="1291"/>
      <c r="P43" s="290"/>
      <c r="Q43" s="288"/>
      <c r="R43" s="289"/>
      <c r="S43" s="1383" t="str">
        <f>INDEX(PT_DIFFERENTIATION_NUM_CS,MATCH(C43,PT_DIFFERENTIATION_CS_ID,0))</f>
        <v>..</v>
      </c>
      <c r="T43" s="246" t="s">
        <v>513</v>
      </c>
      <c r="U43" s="237"/>
      <c r="V43" s="5373"/>
      <c r="W43" s="5374"/>
      <c r="X43" s="5374"/>
      <c r="Y43" s="5374"/>
      <c r="Z43" s="5374"/>
      <c r="AA43" s="5374"/>
      <c r="AB43" s="5375"/>
      <c r="AC43" s="5373" t="str">
        <f>INDEX(PT_DIFFERENTIATION_CS,MATCH(C43,PT_DIFFERENTIATION_CS_ID,0))</f>
        <v/>
      </c>
      <c r="AD43" s="5374"/>
      <c r="AE43" s="5374"/>
      <c r="AF43" s="5374"/>
      <c r="AG43" s="5374"/>
      <c r="AH43" s="5374"/>
      <c r="AI43" s="5374"/>
      <c r="AJ43" s="5375"/>
      <c r="AK43" s="1184" t="s">
        <v>514</v>
      </c>
      <c r="AM43" s="436"/>
      <c r="AN43" s="436" t="str">
        <f t="shared" si="1"/>
        <v>Наименование централизованной системы холодного водоснабжения</v>
      </c>
      <c r="AO43" s="436"/>
      <c r="AP43" s="436"/>
      <c r="AQ43" s="1081">
        <v>23</v>
      </c>
    </row>
    <row r="44" spans="1:43" ht="24" customHeight="1">
      <c r="A44" s="1289" t="s">
        <v>263</v>
      </c>
      <c r="B44" s="1289" t="s">
        <v>264</v>
      </c>
      <c r="C44" s="1289" t="s">
        <v>265</v>
      </c>
      <c r="D44" s="1289" t="s">
        <v>529</v>
      </c>
      <c r="E44" s="5382"/>
      <c r="F44" s="5382"/>
      <c r="G44" s="5382"/>
      <c r="H44" s="5382"/>
      <c r="I44" s="5383" t="str">
        <f>S43&amp;".1"</f>
        <v>...1</v>
      </c>
      <c r="J44" s="1289"/>
      <c r="K44" s="1289"/>
      <c r="L44" s="1290"/>
      <c r="P44" s="5385">
        <v>1</v>
      </c>
      <c r="Q44" s="1376"/>
      <c r="R44" s="292"/>
      <c r="S44" s="1383" t="str">
        <f>$I44</f>
        <v>...1</v>
      </c>
      <c r="T44" s="222" t="s">
        <v>515</v>
      </c>
      <c r="U44" s="237"/>
      <c r="V44" s="5459"/>
      <c r="W44" s="5460"/>
      <c r="X44" s="5460"/>
      <c r="Y44" s="5460"/>
      <c r="Z44" s="5460"/>
      <c r="AA44" s="5460"/>
      <c r="AB44" s="5461"/>
      <c r="AC44" s="5462"/>
      <c r="AD44" s="5463"/>
      <c r="AE44" s="5463"/>
      <c r="AF44" s="5463"/>
      <c r="AG44" s="5463"/>
      <c r="AH44" s="5463"/>
      <c r="AI44" s="5463"/>
      <c r="AJ44" s="5464"/>
      <c r="AK44" s="1184" t="s">
        <v>516</v>
      </c>
      <c r="AM44" s="436"/>
      <c r="AN44" s="436" t="str">
        <f t="shared" si="1"/>
        <v>Наименование признака дифференциации</v>
      </c>
      <c r="AO44" s="436"/>
      <c r="AP44" s="436"/>
      <c r="AQ44" s="1081">
        <v>23</v>
      </c>
    </row>
    <row r="45" spans="1:43" ht="24" customHeight="1">
      <c r="A45" s="1289" t="s">
        <v>263</v>
      </c>
      <c r="B45" s="1289" t="s">
        <v>264</v>
      </c>
      <c r="C45" s="1289" t="s">
        <v>265</v>
      </c>
      <c r="D45" s="1289" t="s">
        <v>529</v>
      </c>
      <c r="E45" s="5382"/>
      <c r="F45" s="5382"/>
      <c r="G45" s="5382"/>
      <c r="H45" s="5382"/>
      <c r="I45" s="5384"/>
      <c r="J45" s="5383" t="str">
        <f>I44&amp;".1"</f>
        <v>...1.1</v>
      </c>
      <c r="K45" s="1289"/>
      <c r="L45" s="1290" t="s">
        <v>433</v>
      </c>
      <c r="P45" s="5385"/>
      <c r="Q45" s="5385">
        <v>1</v>
      </c>
      <c r="R45" s="293"/>
      <c r="S45" s="1383" t="str">
        <f>$J45</f>
        <v>...1.1</v>
      </c>
      <c r="T45" s="223" t="s">
        <v>434</v>
      </c>
      <c r="U45" s="237"/>
      <c r="V45" s="5366"/>
      <c r="W45" s="5367"/>
      <c r="X45" s="5367"/>
      <c r="Y45" s="5367"/>
      <c r="Z45" s="5367"/>
      <c r="AA45" s="5367"/>
      <c r="AB45" s="5368"/>
      <c r="AC45" s="5366"/>
      <c r="AD45" s="5367"/>
      <c r="AE45" s="5367"/>
      <c r="AF45" s="5367"/>
      <c r="AG45" s="5367"/>
      <c r="AH45" s="5367"/>
      <c r="AI45" s="5367"/>
      <c r="AJ45" s="5368"/>
      <c r="AK45" s="1233" t="s">
        <v>517</v>
      </c>
      <c r="AM45" s="436"/>
      <c r="AN45" s="436" t="str">
        <f t="shared" si="1"/>
        <v>Группа потребителей</v>
      </c>
      <c r="AO45" s="436"/>
      <c r="AP45" s="436"/>
      <c r="AQ45" s="1081">
        <v>23</v>
      </c>
    </row>
    <row r="46" spans="1:43" ht="24" customHeight="1">
      <c r="A46" s="1289" t="s">
        <v>263</v>
      </c>
      <c r="B46" s="1289" t="s">
        <v>264</v>
      </c>
      <c r="C46" s="1289" t="s">
        <v>265</v>
      </c>
      <c r="D46" s="1289" t="s">
        <v>529</v>
      </c>
      <c r="E46" s="5382"/>
      <c r="F46" s="5382"/>
      <c r="G46" s="5382"/>
      <c r="H46" s="5382"/>
      <c r="I46" s="5384"/>
      <c r="J46" s="5384"/>
      <c r="K46" s="5383" t="str">
        <f>J45&amp;".1"</f>
        <v>...1.1.1</v>
      </c>
      <c r="L46" s="1290"/>
      <c r="P46" s="5385"/>
      <c r="Q46" s="5385"/>
      <c r="R46" s="293">
        <v>1</v>
      </c>
      <c r="S46" s="1383" t="str">
        <f>$K46</f>
        <v>...1.1.1</v>
      </c>
      <c r="T46" s="1363"/>
      <c r="U46" s="237"/>
      <c r="V46" s="687"/>
      <c r="W46" s="687"/>
      <c r="X46" s="1183"/>
      <c r="Y46" s="5386"/>
      <c r="Z46" s="5245" t="s">
        <v>65</v>
      </c>
      <c r="AA46" s="5386"/>
      <c r="AB46" s="5245" t="s">
        <v>65</v>
      </c>
      <c r="AC46" s="687"/>
      <c r="AD46" s="687"/>
      <c r="AE46" s="1183"/>
      <c r="AF46" s="5386"/>
      <c r="AG46" s="5245" t="s">
        <v>65</v>
      </c>
      <c r="AH46" s="5388"/>
      <c r="AI46" s="5245" t="s">
        <v>65</v>
      </c>
      <c r="AJ46" s="1364"/>
      <c r="AK46"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263</v>
      </c>
      <c r="B47" s="1289" t="s">
        <v>264</v>
      </c>
      <c r="C47" s="1289" t="s">
        <v>265</v>
      </c>
      <c r="D47" s="1289" t="s">
        <v>529</v>
      </c>
      <c r="E47" s="5382"/>
      <c r="F47" s="5382"/>
      <c r="G47" s="5382"/>
      <c r="H47" s="5382"/>
      <c r="I47" s="5384"/>
      <c r="J47" s="5384"/>
      <c r="K47" s="5383"/>
      <c r="L47" s="1290"/>
      <c r="P47" s="5385"/>
      <c r="Q47" s="5385"/>
      <c r="R47" s="293"/>
      <c r="S47" s="1382"/>
      <c r="T47" s="237"/>
      <c r="U47" s="237"/>
      <c r="V47" s="262"/>
      <c r="W47" s="262"/>
      <c r="X47" s="265" t="str">
        <f>Y46&amp;"-"&amp;AA46</f>
        <v>-</v>
      </c>
      <c r="Y47" s="5387"/>
      <c r="Z47" s="5245"/>
      <c r="AA47" s="5387"/>
      <c r="AB47" s="5245"/>
      <c r="AC47" s="262"/>
      <c r="AD47" s="262"/>
      <c r="AE47" s="265" t="str">
        <f>AF46&amp;"-"&amp;AH46</f>
        <v>-</v>
      </c>
      <c r="AF47" s="5387"/>
      <c r="AG47" s="5245"/>
      <c r="AH47" s="5389"/>
      <c r="AI47" s="5245"/>
      <c r="AJ47" s="1365"/>
      <c r="AK47" s="5465"/>
      <c r="AM47" s="436"/>
      <c r="AN47" s="436" t="str">
        <f t="shared" si="1"/>
        <v/>
      </c>
      <c r="AO47" s="436"/>
      <c r="AP47" s="436"/>
      <c r="AQ47" s="1081">
        <v>0</v>
      </c>
    </row>
    <row r="48" spans="1:43" ht="21" customHeight="1">
      <c r="A48" s="1289" t="s">
        <v>263</v>
      </c>
      <c r="B48" s="1289" t="s">
        <v>264</v>
      </c>
      <c r="C48" s="1289" t="s">
        <v>265</v>
      </c>
      <c r="D48" s="1289" t="s">
        <v>529</v>
      </c>
      <c r="E48" s="5382"/>
      <c r="F48" s="5382"/>
      <c r="G48" s="5382"/>
      <c r="H48" s="5382"/>
      <c r="I48" s="5384"/>
      <c r="J48" s="5383"/>
      <c r="K48" s="1289"/>
      <c r="L48" s="1290"/>
      <c r="P48" s="5385"/>
      <c r="Q48" s="5385"/>
      <c r="R48" s="292"/>
      <c r="S48" s="1204"/>
      <c r="T48" s="224" t="s">
        <v>518</v>
      </c>
      <c r="U48" s="303"/>
      <c r="V48" s="303"/>
      <c r="W48" s="303"/>
      <c r="X48" s="303"/>
      <c r="Y48" s="303"/>
      <c r="Z48" s="303"/>
      <c r="AA48" s="303"/>
      <c r="AB48" s="303"/>
      <c r="AC48" s="303"/>
      <c r="AD48" s="303"/>
      <c r="AE48" s="303"/>
      <c r="AF48" s="303"/>
      <c r="AG48" s="303"/>
      <c r="AH48" s="303"/>
      <c r="AI48" s="303"/>
      <c r="AJ48" s="303"/>
      <c r="AK48" s="1184" t="s">
        <v>519</v>
      </c>
      <c r="AM48" s="436"/>
      <c r="AN48" s="436" t="str">
        <f t="shared" si="1"/>
        <v>Добавить значение признака дифференциации</v>
      </c>
      <c r="AO48" s="436"/>
      <c r="AP48" s="436"/>
      <c r="AQ48" s="1081">
        <v>20</v>
      </c>
    </row>
    <row r="49" spans="1:43" ht="21.95" customHeight="1">
      <c r="A49" s="1289" t="s">
        <v>263</v>
      </c>
      <c r="B49" s="1289" t="s">
        <v>264</v>
      </c>
      <c r="C49" s="1289" t="s">
        <v>265</v>
      </c>
      <c r="D49" s="1289" t="s">
        <v>529</v>
      </c>
      <c r="E49" s="5382"/>
      <c r="F49" s="5382"/>
      <c r="G49" s="5382"/>
      <c r="H49" s="5382"/>
      <c r="I49" s="5383"/>
      <c r="J49" s="1289"/>
      <c r="K49" s="1289"/>
      <c r="L49" s="1290"/>
      <c r="P49" s="5385"/>
      <c r="Q49" s="1376"/>
      <c r="R49" s="292"/>
      <c r="S49" s="1204"/>
      <c r="T49" s="301" t="s">
        <v>439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263</v>
      </c>
      <c r="B50" s="1289" t="s">
        <v>264</v>
      </c>
      <c r="C50" s="1289" t="s">
        <v>265</v>
      </c>
      <c r="D50" s="1289" t="s">
        <v>529</v>
      </c>
      <c r="E50" s="5382"/>
      <c r="F50" s="5382"/>
      <c r="G50" s="5382"/>
      <c r="H50" s="5381"/>
      <c r="I50" s="1289"/>
      <c r="J50" s="1289"/>
      <c r="K50" s="1289"/>
      <c r="L50" s="1290"/>
      <c r="M50" s="1291"/>
      <c r="N50" s="1291"/>
      <c r="O50" s="473"/>
      <c r="P50" s="296"/>
      <c r="Q50" s="311"/>
      <c r="R50" s="291"/>
      <c r="S50" s="1204"/>
      <c r="T50" s="308" t="s">
        <v>520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263</v>
      </c>
      <c r="B51" s="1269" t="s">
        <v>264</v>
      </c>
      <c r="C51" s="1240"/>
      <c r="D51" s="1240"/>
      <c r="E51" s="5382"/>
      <c r="F51" s="5381"/>
      <c r="G51" s="1240"/>
      <c r="H51" s="1240"/>
      <c r="I51" s="1240"/>
      <c r="J51" s="1240"/>
      <c r="K51" s="1240"/>
      <c r="L51" s="1384"/>
      <c r="M51" s="1247"/>
      <c r="N51" s="1247"/>
      <c r="P51" s="1242"/>
      <c r="Q51" s="1243"/>
      <c r="R51" s="1242"/>
      <c r="S51" s="1248"/>
      <c r="T51" s="1251" t="s">
        <v>164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263</v>
      </c>
      <c r="B52" s="1269"/>
      <c r="C52" s="1269"/>
      <c r="D52" s="1269"/>
      <c r="E52" s="5381"/>
      <c r="F52" s="1269"/>
      <c r="G52" s="1269"/>
      <c r="H52" s="1269"/>
      <c r="I52" s="1269"/>
      <c r="J52" s="1269"/>
      <c r="K52" s="1269"/>
      <c r="L52" s="1272"/>
      <c r="M52" s="1247"/>
      <c r="N52" s="1247"/>
      <c r="O52" s="454"/>
      <c r="P52" s="316"/>
      <c r="Q52" s="1270"/>
      <c r="R52" s="316"/>
      <c r="S52" s="1248"/>
      <c r="T52" s="1251" t="s">
        <v>165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182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5379"/>
      <c r="U55" s="5379"/>
      <c r="V55" s="5379"/>
      <c r="W55" s="5379"/>
      <c r="X55" s="5379"/>
      <c r="Y55" s="5379"/>
      <c r="Z55" s="5379"/>
      <c r="AA55" s="5379"/>
      <c r="AB55" s="5379"/>
      <c r="AC55" s="5379"/>
      <c r="AD55" s="5379"/>
      <c r="AE55" s="5379"/>
      <c r="AF55" s="5379"/>
      <c r="AG55" s="5379"/>
      <c r="AH55" s="5379"/>
      <c r="AI55" s="5379"/>
      <c r="AJ55" s="5379"/>
      <c r="AK55" s="5379"/>
      <c r="AQ55" s="1081">
        <v>14</v>
      </c>
    </row>
    <row r="56" spans="1:43" ht="14.65" customHeight="1">
      <c r="O56" s="473"/>
      <c r="AQ56" s="1081">
        <v>14</v>
      </c>
    </row>
    <row r="57" spans="1:43" ht="14.65" customHeight="1">
      <c r="O57" s="473"/>
      <c r="S57" s="1179"/>
      <c r="T57" s="5379"/>
      <c r="U57" s="5379"/>
      <c r="V57" s="5379"/>
      <c r="W57" s="5379"/>
      <c r="X57" s="5379"/>
      <c r="Y57" s="5379"/>
      <c r="Z57" s="5379"/>
      <c r="AA57" s="5379"/>
      <c r="AB57" s="5379"/>
      <c r="AC57" s="5379"/>
      <c r="AD57" s="5379"/>
      <c r="AE57" s="5379"/>
      <c r="AF57" s="5379"/>
      <c r="AG57" s="5379"/>
      <c r="AH57" s="5379"/>
      <c r="AI57" s="5379"/>
      <c r="AJ57" s="5379"/>
      <c r="AK57" s="5379"/>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5381">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5373"/>
      <c r="W2" s="5374"/>
      <c r="X2" s="5374"/>
      <c r="Y2" s="5374"/>
      <c r="Z2" s="5374"/>
      <c r="AA2" s="5374"/>
      <c r="AB2" s="5375"/>
      <c r="AC2" s="5373" t="e">
        <f>INDEX(PT_DIFFERENTIATION_NTAR,MATCH(A2,PT_DIFFERENTIATION_NTAR_ID,0))</f>
        <v>#N/A</v>
      </c>
      <c r="AD2" s="5374"/>
      <c r="AE2" s="5374"/>
      <c r="AF2" s="5374"/>
      <c r="AG2" s="5374"/>
      <c r="AH2" s="5374"/>
      <c r="AI2" s="5374"/>
      <c r="AJ2" s="53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5382"/>
      <c r="F3" s="5381">
        <v>1</v>
      </c>
      <c r="G3" s="1289"/>
      <c r="H3" s="1289"/>
      <c r="I3" s="1289"/>
      <c r="J3" s="1289"/>
      <c r="K3" s="1289"/>
      <c r="L3" s="1290"/>
      <c r="M3" s="1291"/>
      <c r="N3" s="1291"/>
      <c r="O3" s="1291"/>
      <c r="P3" s="1379"/>
      <c r="Q3" s="288"/>
      <c r="R3" s="289"/>
      <c r="S3" s="1383" t="e">
        <f>INDEX(PT_DIFFERENTIATION_NUM_TER,MATCH(B3,PT_DIFFERENTIATION_TER_ID,0))</f>
        <v>#N/A</v>
      </c>
      <c r="T3" s="245" t="s">
        <v>424</v>
      </c>
      <c r="U3" s="237"/>
      <c r="V3" s="5373"/>
      <c r="W3" s="5374"/>
      <c r="X3" s="5374"/>
      <c r="Y3" s="5374"/>
      <c r="Z3" s="5374"/>
      <c r="AA3" s="5374"/>
      <c r="AB3" s="5375"/>
      <c r="AC3" s="5373" t="e">
        <f>INDEX(PT_DIFFERENTIATION_TER,MATCH(B3,PT_DIFFERENTIATION_TER_ID,0))</f>
        <v>#N/A</v>
      </c>
      <c r="AD3" s="5374"/>
      <c r="AE3" s="5374"/>
      <c r="AF3" s="5374"/>
      <c r="AG3" s="5374"/>
      <c r="AH3" s="5374"/>
      <c r="AI3" s="5374"/>
      <c r="AJ3" s="5375"/>
      <c r="AK3" s="1184" t="s">
        <v>425</v>
      </c>
      <c r="AM3" s="436"/>
      <c r="AN3" s="436" t="str">
        <f t="shared" si="0"/>
        <v>Территория действия тарифа</v>
      </c>
      <c r="AO3" s="436"/>
      <c r="AP3" s="436"/>
      <c r="AQ3" s="1081">
        <v>0</v>
      </c>
    </row>
    <row r="4" spans="1:43" ht="23.25" hidden="1" customHeight="1">
      <c r="A4" s="1289"/>
      <c r="B4" s="1289"/>
      <c r="C4" s="1289"/>
      <c r="D4" s="1289"/>
      <c r="E4" s="5382"/>
      <c r="F4" s="5382"/>
      <c r="G4" s="5381">
        <v>1</v>
      </c>
      <c r="H4" s="1289"/>
      <c r="I4" s="1289"/>
      <c r="J4" s="1289"/>
      <c r="K4" s="1289"/>
      <c r="L4" s="1290"/>
      <c r="M4" s="1291"/>
      <c r="N4" s="1291"/>
      <c r="O4" s="1291"/>
      <c r="P4" s="290"/>
      <c r="Q4" s="288"/>
      <c r="R4" s="289"/>
      <c r="S4" s="1383" t="e">
        <f>INDEX(PT_DIFFERENTIATION_NUM_CS,MATCH(C4,PT_DIFFERENTIATION_CS_ID,0))</f>
        <v>#N/A</v>
      </c>
      <c r="T4" s="246" t="s">
        <v>513</v>
      </c>
      <c r="U4" s="237"/>
      <c r="V4" s="5373"/>
      <c r="W4" s="5374"/>
      <c r="X4" s="5374"/>
      <c r="Y4" s="5374"/>
      <c r="Z4" s="5374"/>
      <c r="AA4" s="5374"/>
      <c r="AB4" s="5375"/>
      <c r="AC4" s="5373" t="e">
        <f>INDEX(PT_DIFFERENTIATION_CS,MATCH(C4,PT_DIFFERENTIATION_CS_ID,0))</f>
        <v>#N/A</v>
      </c>
      <c r="AD4" s="5374"/>
      <c r="AE4" s="5374"/>
      <c r="AF4" s="5374"/>
      <c r="AG4" s="5374"/>
      <c r="AH4" s="5374"/>
      <c r="AI4" s="5374"/>
      <c r="AJ4" s="5375"/>
      <c r="AK4" s="1184" t="s">
        <v>514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5382"/>
      <c r="F5" s="5382"/>
      <c r="G5" s="5382"/>
      <c r="H5" s="5382"/>
      <c r="I5" s="5383" t="e">
        <f>S4&amp;".1"</f>
        <v>#N/A</v>
      </c>
      <c r="J5" s="1289"/>
      <c r="K5" s="1289"/>
      <c r="L5" s="1290"/>
      <c r="P5" s="5385">
        <v>1</v>
      </c>
      <c r="Q5" s="1376"/>
      <c r="R5" s="292"/>
      <c r="S5" s="1383" t="e">
        <f>$I5</f>
        <v>#N/A</v>
      </c>
      <c r="T5" s="222" t="s">
        <v>515</v>
      </c>
      <c r="U5" s="237"/>
      <c r="V5" s="5459"/>
      <c r="W5" s="5460"/>
      <c r="X5" s="5460"/>
      <c r="Y5" s="5460"/>
      <c r="Z5" s="5460"/>
      <c r="AA5" s="5460"/>
      <c r="AB5" s="5461"/>
      <c r="AC5" s="5462"/>
      <c r="AD5" s="5463"/>
      <c r="AE5" s="5463"/>
      <c r="AF5" s="5463"/>
      <c r="AG5" s="5463"/>
      <c r="AH5" s="5463"/>
      <c r="AI5" s="5463"/>
      <c r="AJ5" s="5464"/>
      <c r="AK5" s="1184" t="s">
        <v>516</v>
      </c>
      <c r="AM5" s="436"/>
      <c r="AN5" s="436" t="str">
        <f t="shared" si="0"/>
        <v>Наименование признака дифференциации</v>
      </c>
      <c r="AO5" s="436"/>
      <c r="AP5" s="436"/>
      <c r="AQ5" s="1081">
        <v>0</v>
      </c>
    </row>
    <row r="6" spans="1:43" ht="23.25" hidden="1" customHeight="1">
      <c r="A6" s="1289"/>
      <c r="B6" s="1289"/>
      <c r="C6" s="1289"/>
      <c r="D6" s="1289"/>
      <c r="E6" s="5382"/>
      <c r="F6" s="5382"/>
      <c r="G6" s="5382"/>
      <c r="H6" s="5382"/>
      <c r="I6" s="5384"/>
      <c r="J6" s="5383" t="e">
        <f>I5&amp;".1"</f>
        <v>#N/A</v>
      </c>
      <c r="K6" s="1289"/>
      <c r="L6" s="1290" t="s">
        <v>433</v>
      </c>
      <c r="P6" s="5385"/>
      <c r="Q6" s="5385">
        <v>1</v>
      </c>
      <c r="R6" s="293"/>
      <c r="S6" s="1383" t="e">
        <f>$J6</f>
        <v>#N/A</v>
      </c>
      <c r="T6" s="223" t="s">
        <v>434</v>
      </c>
      <c r="U6" s="237"/>
      <c r="V6" s="5366"/>
      <c r="W6" s="5367"/>
      <c r="X6" s="5367"/>
      <c r="Y6" s="5367"/>
      <c r="Z6" s="5367"/>
      <c r="AA6" s="5367"/>
      <c r="AB6" s="5368"/>
      <c r="AC6" s="5366"/>
      <c r="AD6" s="5367"/>
      <c r="AE6" s="5367"/>
      <c r="AF6" s="5367"/>
      <c r="AG6" s="5367"/>
      <c r="AH6" s="5367"/>
      <c r="AI6" s="5367"/>
      <c r="AJ6" s="5368"/>
      <c r="AK6" s="1233" t="s">
        <v>517</v>
      </c>
      <c r="AM6" s="436"/>
      <c r="AN6" s="436" t="str">
        <f t="shared" si="0"/>
        <v>Группа потребителей</v>
      </c>
      <c r="AO6" s="436"/>
      <c r="AP6" s="436"/>
      <c r="AQ6" s="1081">
        <v>0</v>
      </c>
    </row>
    <row r="7" spans="1:43" ht="23.25" hidden="1" customHeight="1">
      <c r="A7" s="1289"/>
      <c r="B7" s="1289"/>
      <c r="C7" s="1289"/>
      <c r="D7" s="1289"/>
      <c r="E7" s="5382"/>
      <c r="F7" s="5382"/>
      <c r="G7" s="5382"/>
      <c r="H7" s="5382"/>
      <c r="I7" s="5384"/>
      <c r="J7" s="5384"/>
      <c r="K7" s="5383" t="e">
        <f>J6&amp;".1"</f>
        <v>#N/A</v>
      </c>
      <c r="L7" s="1290"/>
      <c r="P7" s="5385"/>
      <c r="Q7" s="5385"/>
      <c r="R7" s="293">
        <v>1</v>
      </c>
      <c r="S7" s="1383" t="e">
        <f>$K7</f>
        <v>#N/A</v>
      </c>
      <c r="T7" s="1363"/>
      <c r="U7" s="237"/>
      <c r="V7" s="687"/>
      <c r="W7" s="687"/>
      <c r="X7" s="1183"/>
      <c r="Y7" s="5386"/>
      <c r="Z7" s="5245" t="s">
        <v>65</v>
      </c>
      <c r="AA7" s="5386"/>
      <c r="AB7" s="5245" t="s">
        <v>65</v>
      </c>
      <c r="AC7" s="687"/>
      <c r="AD7" s="687"/>
      <c r="AE7" s="1183"/>
      <c r="AF7" s="5386"/>
      <c r="AG7" s="5245" t="s">
        <v>65</v>
      </c>
      <c r="AH7" s="5388"/>
      <c r="AI7" s="5245" t="s">
        <v>65</v>
      </c>
      <c r="AJ7" s="1364"/>
      <c r="AK7"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5382"/>
      <c r="F8" s="5382"/>
      <c r="G8" s="5382"/>
      <c r="H8" s="5382"/>
      <c r="I8" s="5384"/>
      <c r="J8" s="5384"/>
      <c r="K8" s="5383"/>
      <c r="L8" s="1290"/>
      <c r="P8" s="5385"/>
      <c r="Q8" s="5385"/>
      <c r="R8" s="293"/>
      <c r="S8" s="1382"/>
      <c r="T8" s="237"/>
      <c r="U8" s="237"/>
      <c r="V8" s="262"/>
      <c r="W8" s="262"/>
      <c r="X8" s="265" t="str">
        <f>Y7&amp;"-"&amp;AA7</f>
        <v>-</v>
      </c>
      <c r="Y8" s="5387"/>
      <c r="Z8" s="5245"/>
      <c r="AA8" s="5387"/>
      <c r="AB8" s="5245"/>
      <c r="AC8" s="262"/>
      <c r="AD8" s="262"/>
      <c r="AE8" s="265" t="str">
        <f>AF7&amp;"-"&amp;AH7</f>
        <v>-</v>
      </c>
      <c r="AF8" s="5387"/>
      <c r="AG8" s="5245"/>
      <c r="AH8" s="5389"/>
      <c r="AI8" s="5245"/>
      <c r="AJ8" s="1365"/>
      <c r="AK8" s="5465"/>
      <c r="AM8" s="436"/>
      <c r="AN8" s="436" t="str">
        <f t="shared" si="0"/>
        <v/>
      </c>
      <c r="AO8" s="436"/>
      <c r="AP8" s="436"/>
      <c r="AQ8" s="1081">
        <v>0</v>
      </c>
    </row>
    <row r="9" spans="1:43" ht="21" hidden="1" customHeight="1">
      <c r="A9" s="1289"/>
      <c r="B9" s="1289"/>
      <c r="C9" s="1289"/>
      <c r="D9" s="1289"/>
      <c r="E9" s="5382"/>
      <c r="F9" s="5382"/>
      <c r="G9" s="5382"/>
      <c r="H9" s="5382"/>
      <c r="I9" s="5384"/>
      <c r="J9" s="5383"/>
      <c r="K9" s="1289"/>
      <c r="L9" s="1290"/>
      <c r="P9" s="5385"/>
      <c r="Q9" s="5385"/>
      <c r="R9" s="292"/>
      <c r="S9" s="1204"/>
      <c r="T9" s="224" t="s">
        <v>518</v>
      </c>
      <c r="U9" s="303"/>
      <c r="V9" s="303"/>
      <c r="W9" s="303"/>
      <c r="X9" s="303"/>
      <c r="Y9" s="303"/>
      <c r="Z9" s="303"/>
      <c r="AA9" s="303"/>
      <c r="AB9" s="303"/>
      <c r="AC9" s="303"/>
      <c r="AD9" s="303"/>
      <c r="AE9" s="303"/>
      <c r="AF9" s="303"/>
      <c r="AG9" s="303"/>
      <c r="AH9" s="303"/>
      <c r="AI9" s="303"/>
      <c r="AJ9" s="303"/>
      <c r="AK9" s="1184" t="s">
        <v>519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5382"/>
      <c r="F10" s="5382"/>
      <c r="G10" s="5382"/>
      <c r="H10" s="5382"/>
      <c r="I10" s="5383"/>
      <c r="J10" s="1289"/>
      <c r="K10" s="1289"/>
      <c r="L10" s="1290"/>
      <c r="P10" s="5385"/>
      <c r="Q10" s="1376"/>
      <c r="R10" s="292"/>
      <c r="S10" s="1204"/>
      <c r="T10" s="301" t="s">
        <v>439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5382"/>
      <c r="F11" s="5382"/>
      <c r="G11" s="5382"/>
      <c r="H11" s="5381"/>
      <c r="I11" s="1289"/>
      <c r="J11" s="1289"/>
      <c r="K11" s="1289"/>
      <c r="L11" s="1290"/>
      <c r="M11" s="1291"/>
      <c r="N11" s="1291"/>
      <c r="O11" s="473"/>
      <c r="P11" s="296"/>
      <c r="Q11" s="311"/>
      <c r="R11" s="291"/>
      <c r="S11" s="1204"/>
      <c r="T11" s="308" t="s">
        <v>520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5382"/>
      <c r="F12" s="5381"/>
      <c r="G12" s="1240"/>
      <c r="H12" s="1240"/>
      <c r="I12" s="1240"/>
      <c r="J12" s="1240"/>
      <c r="K12" s="1240"/>
      <c r="L12" s="1384"/>
      <c r="M12" s="1247"/>
      <c r="N12" s="1247"/>
      <c r="P12" s="1242"/>
      <c r="Q12" s="1243"/>
      <c r="R12" s="1242"/>
      <c r="S12" s="1248"/>
      <c r="T12" s="1251" t="s">
        <v>164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5381"/>
      <c r="F13" s="1269"/>
      <c r="G13" s="1269"/>
      <c r="H13" s="1269"/>
      <c r="I13" s="1269"/>
      <c r="J13" s="1269"/>
      <c r="K13" s="1269"/>
      <c r="L13" s="1272"/>
      <c r="M13" s="1247"/>
      <c r="N13" s="1247"/>
      <c r="O13" s="454"/>
      <c r="P13" s="316"/>
      <c r="Q13" s="1270"/>
      <c r="R13" s="316"/>
      <c r="S13" s="1248"/>
      <c r="T13" s="1251" t="s">
        <v>165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5378"/>
      <c r="AG15" s="5377" t="s">
        <v>65</v>
      </c>
      <c r="AH15" s="5378"/>
      <c r="AI15" s="5377" t="s">
        <v>65</v>
      </c>
      <c r="AQ15" s="1081">
        <v>0</v>
      </c>
    </row>
    <row r="16" spans="1:43" ht="14.25" hidden="1" customHeight="1">
      <c r="AC16" s="1286"/>
      <c r="AD16" s="1286"/>
      <c r="AE16" s="265" t="str">
        <f>AF15&amp;"-"&amp;AH15</f>
        <v>-</v>
      </c>
      <c r="AF16" s="5377"/>
      <c r="AG16" s="5377"/>
      <c r="AH16" s="5377"/>
      <c r="AI16" s="5377"/>
      <c r="AQ16" s="1081">
        <v>0</v>
      </c>
    </row>
    <row r="17" spans="1:43" ht="14.25" hidden="1" customHeight="1">
      <c r="AI17" s="264"/>
      <c r="AQ17" s="1081">
        <v>0</v>
      </c>
    </row>
    <row r="18" spans="1:43" s="1292" customFormat="1" ht="22.5" hidden="1" customHeight="1">
      <c r="L18" s="1373"/>
      <c r="M18" s="1288"/>
      <c r="N18" s="1288"/>
      <c r="O18" s="1293" t="s">
        <v>441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442</v>
      </c>
      <c r="P20" s="1288"/>
      <c r="Q20" s="1368"/>
      <c r="R20" s="1368"/>
      <c r="S20" s="665"/>
      <c r="T20" s="1086" t="s">
        <v>443</v>
      </c>
      <c r="Z20" s="124" t="s">
        <v>444</v>
      </c>
      <c r="AB20" s="124" t="s">
        <v>445</v>
      </c>
      <c r="AC20" s="1086" t="s">
        <v>443</v>
      </c>
      <c r="AG20" s="124" t="s">
        <v>446</v>
      </c>
      <c r="AI20" s="124" t="s">
        <v>445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535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359"/>
      <c r="U24" s="5359"/>
      <c r="V24" s="5359"/>
      <c r="W24" s="5359"/>
      <c r="X24" s="5359"/>
      <c r="Y24" s="5359"/>
      <c r="Z24" s="5359"/>
      <c r="AA24" s="5359"/>
      <c r="AB24" s="5359"/>
      <c r="AC24" s="5359"/>
      <c r="AD24" s="5359"/>
      <c r="AE24" s="5359"/>
      <c r="AF24" s="5359"/>
      <c r="AG24" s="5359"/>
      <c r="AH24" s="5359"/>
      <c r="AI24" s="1169"/>
      <c r="AQ24" s="1081">
        <v>14</v>
      </c>
    </row>
    <row r="25" spans="1:43" ht="14.65" customHeight="1">
      <c r="Q25" s="312"/>
      <c r="R25" s="312"/>
      <c r="S25" s="5331" t="str">
        <f>IF(org=0,"Не определено",org)</f>
        <v>ПАО "ТГК-1" филиал "Невский"</v>
      </c>
      <c r="T25" s="5331"/>
      <c r="U25" s="5331"/>
      <c r="V25" s="5331"/>
      <c r="W25" s="5331"/>
      <c r="X25" s="5331"/>
      <c r="Y25" s="5331"/>
      <c r="Z25" s="5331"/>
      <c r="AA25" s="5331"/>
      <c r="AB25" s="5331"/>
      <c r="AC25" s="5331"/>
      <c r="AD25" s="5331"/>
      <c r="AE25" s="5331"/>
      <c r="AF25" s="5331"/>
      <c r="AG25" s="5331"/>
      <c r="AH25" s="5331"/>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5370" t="s">
        <v>42</v>
      </c>
      <c r="T27" s="5370"/>
      <c r="U27" s="1298"/>
      <c r="V27" s="5372" t="str">
        <f>IF(TITLE_NAME_OR_PR_CHANGE="",IF(TITLE_NAME_OR_PR="","",TITLE_NAME_OR_PR),TITLE_NAME_OR_PR_CHANGE)</f>
        <v>Комитет по тарифам Санкт-Петербурга</v>
      </c>
      <c r="W27" s="5372"/>
      <c r="X27" s="5372"/>
      <c r="Y27" s="5372"/>
      <c r="Z27" s="5372"/>
      <c r="AA27" s="5372"/>
      <c r="AB27" s="263"/>
      <c r="AC27" s="5372" t="str">
        <f>IF(TITLE_NAME_OR_PR_CHANGE="",IF(TITLE_NAME_OR_PR="","",TITLE_NAME_OR_PR),TITLE_NAME_OR_PR_CHANGE)</f>
        <v>Комитет по тарифам Санкт-Петербурга</v>
      </c>
      <c r="AD27" s="5372"/>
      <c r="AE27" s="5372"/>
      <c r="AF27" s="5372"/>
      <c r="AG27" s="5372"/>
      <c r="AH27" s="5372"/>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5370" t="s">
        <v>447</v>
      </c>
      <c r="T28" s="5370"/>
      <c r="U28" s="1298"/>
      <c r="V28" s="5371">
        <f>IF(TITLE_DATE_PR_CHANGE="",IF(TITLE_DATE_PR="","",TITLE_DATE_PR),TITLE_DATE_PR_CHANGE)</f>
        <v>45470</v>
      </c>
      <c r="W28" s="5371"/>
      <c r="X28" s="5371"/>
      <c r="Y28" s="5371"/>
      <c r="Z28" s="5371"/>
      <c r="AA28" s="5371"/>
      <c r="AB28" s="263"/>
      <c r="AC28" s="5371">
        <f>IF(TITLE_DATE_PR_CHANGE="",IF(TITLE_DATE_PR="","",TITLE_DATE_PR),TITLE_DATE_PR_CHANGE)</f>
        <v>45470</v>
      </c>
      <c r="AD28" s="5371"/>
      <c r="AE28" s="5371"/>
      <c r="AF28" s="5371"/>
      <c r="AG28" s="5371"/>
      <c r="AH28" s="5371"/>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5370" t="s">
        <v>448</v>
      </c>
      <c r="T29" s="5370"/>
      <c r="U29" s="1298"/>
      <c r="V29" s="5372" t="str">
        <f>IF(TITLE_NUMBER_PR_CHANGE="",IF(TITLE_NUMBER_PR="","",TITLE_NUMBER_PR),TITLE_NUMBER_PR_CHANGE)</f>
        <v>94-р</v>
      </c>
      <c r="W29" s="5372"/>
      <c r="X29" s="5372"/>
      <c r="Y29" s="5372"/>
      <c r="Z29" s="5372"/>
      <c r="AA29" s="5372"/>
      <c r="AB29" s="263"/>
      <c r="AC29" s="5372" t="str">
        <f>IF(TITLE_NUMBER_PR_CHANGE="",IF(TITLE_NUMBER_PR="","",TITLE_NUMBER_PR),TITLE_NUMBER_PR_CHANGE)</f>
        <v>94-р</v>
      </c>
      <c r="AD29" s="5372"/>
      <c r="AE29" s="5372"/>
      <c r="AF29" s="5372"/>
      <c r="AG29" s="5372"/>
      <c r="AH29" s="5372"/>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5370" t="s">
        <v>44</v>
      </c>
      <c r="T30" s="5370"/>
      <c r="U30" s="1298"/>
      <c r="V30" s="5372" t="str">
        <f>IF(TITLE_IST_PUB_CHANGE="",IF(TITLE_IST_PUB="","",TITLE_IST_PUB),TITLE_IST_PUB_CHANGE)</f>
        <v>http://publication.pravo.gov.ru/document/7801202407010029</v>
      </c>
      <c r="W30" s="5372"/>
      <c r="X30" s="5372"/>
      <c r="Y30" s="5372"/>
      <c r="Z30" s="5372"/>
      <c r="AA30" s="5372"/>
      <c r="AB30" s="263"/>
      <c r="AC30" s="5372" t="str">
        <f>IF(TITLE_IST_PUB_CHANGE="",IF(TITLE_IST_PUB="","",TITLE_IST_PUB),TITLE_IST_PUB_CHANGE)</f>
        <v>http://publication.pravo.gov.ru/document/7801202407010029</v>
      </c>
      <c r="AD30" s="5372"/>
      <c r="AE30" s="5372"/>
      <c r="AF30" s="5372"/>
      <c r="AG30" s="5372"/>
      <c r="AH30" s="537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5370" t="s">
        <v>449</v>
      </c>
      <c r="T32" s="5370"/>
      <c r="U32" s="1298"/>
      <c r="V32" s="5371">
        <f>IF(TITLE_DATE_PR_CHANGE="",IF(TITLE_DATE_PR="","",TITLE_DATE_PR),TITLE_DATE_PR_CHANGE)</f>
        <v>45470</v>
      </c>
      <c r="W32" s="5371"/>
      <c r="X32" s="5371"/>
      <c r="Y32" s="5371"/>
      <c r="Z32" s="5371"/>
      <c r="AA32" s="5371"/>
      <c r="AB32" s="263"/>
      <c r="AC32" s="5371">
        <f>IF(TITLE_DATE_PR_CHANGE="",IF(TITLE_DATE_PR="","",TITLE_DATE_PR),TITLE_DATE_PR_CHANGE)</f>
        <v>45470</v>
      </c>
      <c r="AD32" s="5371"/>
      <c r="AE32" s="5371"/>
      <c r="AF32" s="5371"/>
      <c r="AG32" s="5371"/>
      <c r="AH32" s="5371"/>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5370" t="s">
        <v>450</v>
      </c>
      <c r="T33" s="5370"/>
      <c r="U33" s="1298"/>
      <c r="V33" s="5372" t="str">
        <f>IF(TITLE_NUMBER_PR_CHANGE="",IF(TITLE_NUMBER_PR="","",TITLE_NUMBER_PR),TITLE_NUMBER_PR_CHANGE)</f>
        <v>94-р</v>
      </c>
      <c r="W33" s="5372"/>
      <c r="X33" s="5372"/>
      <c r="Y33" s="5372"/>
      <c r="Z33" s="5372"/>
      <c r="AA33" s="5372"/>
      <c r="AB33" s="263"/>
      <c r="AC33" s="5372" t="str">
        <f>IF(TITLE_NUMBER_PR_CHANGE="",IF(TITLE_NUMBER_PR="","",TITLE_NUMBER_PR),TITLE_NUMBER_PR_CHANGE)</f>
        <v>94-р</v>
      </c>
      <c r="AD33" s="5372"/>
      <c r="AE33" s="5372"/>
      <c r="AF33" s="5372"/>
      <c r="AG33" s="5372"/>
      <c r="AH33" s="537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451</v>
      </c>
      <c r="AC34" s="263"/>
      <c r="AD34" s="263"/>
      <c r="AE34" s="263"/>
      <c r="AF34" s="263"/>
      <c r="AG34" s="263"/>
      <c r="AH34" s="263"/>
      <c r="AI34" s="215" t="s">
        <v>451</v>
      </c>
      <c r="AL34" s="304"/>
      <c r="AM34" s="304"/>
      <c r="AN34" s="304"/>
      <c r="AO34" s="304"/>
      <c r="AP34" s="304"/>
      <c r="AQ34" s="354">
        <v>1</v>
      </c>
    </row>
    <row r="35" spans="1:43" ht="14.65" customHeight="1">
      <c r="Q35" s="312"/>
      <c r="R35" s="312"/>
      <c r="S35" s="1201"/>
      <c r="T35" s="299"/>
      <c r="U35" s="1170"/>
      <c r="V35" s="5393"/>
      <c r="W35" s="5393"/>
      <c r="X35" s="5393"/>
      <c r="Y35" s="5393"/>
      <c r="Z35" s="5393"/>
      <c r="AA35" s="5393"/>
      <c r="AB35" s="5393"/>
      <c r="AC35" s="5393"/>
      <c r="AD35" s="5393"/>
      <c r="AE35" s="5393"/>
      <c r="AF35" s="5393"/>
      <c r="AG35" s="5393"/>
      <c r="AH35" s="5393"/>
      <c r="AI35" s="5393"/>
      <c r="AQ35" s="1081">
        <v>14</v>
      </c>
    </row>
    <row r="36" spans="1:43" ht="14.65" customHeight="1">
      <c r="Q36" s="312"/>
      <c r="R36" s="312"/>
      <c r="S36" s="5235" t="s">
        <v>327</v>
      </c>
      <c r="T36" s="5235"/>
      <c r="U36" s="5235"/>
      <c r="V36" s="5235"/>
      <c r="W36" s="5235"/>
      <c r="X36" s="5235"/>
      <c r="Y36" s="5235"/>
      <c r="Z36" s="5235"/>
      <c r="AA36" s="5235"/>
      <c r="AB36" s="5235"/>
      <c r="AC36" s="5235"/>
      <c r="AD36" s="5235"/>
      <c r="AE36" s="5235"/>
      <c r="AF36" s="5235"/>
      <c r="AG36" s="5235"/>
      <c r="AH36" s="5235"/>
      <c r="AI36" s="5235"/>
      <c r="AJ36" s="5235"/>
      <c r="AK36" s="5235" t="s">
        <v>328</v>
      </c>
      <c r="AQ36" s="1081">
        <v>14</v>
      </c>
    </row>
    <row r="37" spans="1:43" ht="14.65" customHeight="1">
      <c r="Q37" s="312"/>
      <c r="R37" s="312"/>
      <c r="S37" s="5395" t="s">
        <v>90</v>
      </c>
      <c r="T37" s="5339" t="s">
        <v>452</v>
      </c>
      <c r="U37" s="238"/>
      <c r="V37" s="5396" t="s">
        <v>453</v>
      </c>
      <c r="W37" s="5397"/>
      <c r="X37" s="5397"/>
      <c r="Y37" s="5397"/>
      <c r="Z37" s="5397"/>
      <c r="AA37" s="5398"/>
      <c r="AB37" s="5399" t="s">
        <v>454</v>
      </c>
      <c r="AC37" s="5396" t="s">
        <v>453</v>
      </c>
      <c r="AD37" s="5397"/>
      <c r="AE37" s="5397"/>
      <c r="AF37" s="5397"/>
      <c r="AG37" s="5397"/>
      <c r="AH37" s="5398"/>
      <c r="AI37" s="5399" t="s">
        <v>455</v>
      </c>
      <c r="AJ37" s="5402" t="s">
        <v>456</v>
      </c>
      <c r="AK37" s="5235"/>
      <c r="AQ37" s="1081">
        <v>14</v>
      </c>
    </row>
    <row r="38" spans="1:43" ht="35.65" customHeight="1">
      <c r="Q38" s="312"/>
      <c r="R38" s="312"/>
      <c r="S38" s="5395"/>
      <c r="T38" s="5339"/>
      <c r="U38" s="960"/>
      <c r="V38" s="1378" t="s">
        <v>521</v>
      </c>
      <c r="W38" s="5217" t="s">
        <v>459</v>
      </c>
      <c r="X38" s="5216"/>
      <c r="Y38" s="5217" t="s">
        <v>460</v>
      </c>
      <c r="Z38" s="5222"/>
      <c r="AA38" s="5216"/>
      <c r="AB38" s="5400"/>
      <c r="AC38" s="1378" t="s">
        <v>521</v>
      </c>
      <c r="AD38" s="5217" t="s">
        <v>459</v>
      </c>
      <c r="AE38" s="5216"/>
      <c r="AF38" s="5217" t="s">
        <v>460</v>
      </c>
      <c r="AG38" s="5222"/>
      <c r="AH38" s="5216"/>
      <c r="AI38" s="5400"/>
      <c r="AJ38" s="5403"/>
      <c r="AK38" s="5235"/>
      <c r="AQ38" s="1081">
        <v>34</v>
      </c>
    </row>
    <row r="39" spans="1:43" ht="35.65" customHeight="1">
      <c r="A39" s="1296"/>
      <c r="B39" s="1296" t="s">
        <v>137</v>
      </c>
      <c r="C39" s="1296" t="s">
        <v>138</v>
      </c>
      <c r="D39" s="1296" t="s">
        <v>139</v>
      </c>
      <c r="E39" s="1290" t="s">
        <v>461</v>
      </c>
      <c r="F39" s="1290" t="s">
        <v>462</v>
      </c>
      <c r="G39" s="1290" t="s">
        <v>463</v>
      </c>
      <c r="H39" s="1290"/>
      <c r="I39" s="1290" t="s">
        <v>522</v>
      </c>
      <c r="J39" s="1290" t="s">
        <v>466</v>
      </c>
      <c r="K39" s="1290" t="s">
        <v>523</v>
      </c>
      <c r="L39" s="1290" t="s">
        <v>442</v>
      </c>
      <c r="Q39" s="312"/>
      <c r="R39" s="312"/>
      <c r="S39" s="5395"/>
      <c r="T39" s="5339"/>
      <c r="U39" s="239"/>
      <c r="V39" s="1378" t="s">
        <v>524</v>
      </c>
      <c r="W39" s="1148" t="s">
        <v>525</v>
      </c>
      <c r="X39" s="1148" t="s">
        <v>526</v>
      </c>
      <c r="Y39" s="1381" t="s">
        <v>470</v>
      </c>
      <c r="Z39" s="5344" t="s">
        <v>471</v>
      </c>
      <c r="AA39" s="5358"/>
      <c r="AB39" s="5401"/>
      <c r="AC39" s="1378" t="s">
        <v>524</v>
      </c>
      <c r="AD39" s="1148" t="s">
        <v>525</v>
      </c>
      <c r="AE39" s="1148" t="s">
        <v>526</v>
      </c>
      <c r="AF39" s="1381" t="s">
        <v>470</v>
      </c>
      <c r="AG39" s="5344" t="s">
        <v>471</v>
      </c>
      <c r="AH39" s="5358"/>
      <c r="AI39" s="5401"/>
      <c r="AJ39" s="5404"/>
      <c r="AK39" s="5235"/>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5392">
        <f ca="1">OFFSET(Z40,0,-1)+1</f>
        <v>7</v>
      </c>
      <c r="AA40" s="5392"/>
      <c r="AB40" s="1377">
        <f ca="1">OFFSET(AB40,0,-2)+1</f>
        <v>8</v>
      </c>
      <c r="AC40" s="1377">
        <f ca="1">OFFSET(AC40,0,-1)+1</f>
        <v>9</v>
      </c>
      <c r="AD40" s="1377">
        <f ca="1">OFFSET(AD40,0,-1)+1</f>
        <v>10</v>
      </c>
      <c r="AE40" s="1377">
        <f ca="1">OFFSET(AE40,0,-1)+1</f>
        <v>11</v>
      </c>
      <c r="AF40" s="1377">
        <f ca="1">OFFSET(AF40,0,-1)+1</f>
        <v>12</v>
      </c>
      <c r="AG40" s="5392">
        <f ca="1">OFFSET(AG40,0,-1)+1</f>
        <v>13</v>
      </c>
      <c r="AH40" s="5392"/>
      <c r="AI40" s="1377">
        <f ca="1">OFFSET(AI40,0,-2)+1</f>
        <v>14</v>
      </c>
      <c r="AJ40" s="1171">
        <f ca="1">OFFSET(AJ40,0,-1)</f>
        <v>14</v>
      </c>
      <c r="AK40" s="1377">
        <f ca="1">OFFSET(AK40,0,-1)+1</f>
        <v>15</v>
      </c>
      <c r="AL40" s="447"/>
      <c r="AM40" s="447"/>
      <c r="AN40" s="447"/>
      <c r="AO40" s="447"/>
      <c r="AP40" s="447"/>
      <c r="AQ40" s="432">
        <v>0</v>
      </c>
    </row>
    <row r="41" spans="1:43" ht="24" customHeight="1">
      <c r="A41" s="1289" t="s">
        <v>268</v>
      </c>
      <c r="B41" s="1289"/>
      <c r="C41" s="1289"/>
      <c r="D41" s="1289"/>
      <c r="E41" s="538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5373"/>
      <c r="W41" s="5374"/>
      <c r="X41" s="5374"/>
      <c r="Y41" s="5374"/>
      <c r="Z41" s="5374"/>
      <c r="AA41" s="5374"/>
      <c r="AB41" s="5375"/>
      <c r="AC41" s="5373" t="str">
        <f>INDEX(PT_DIFFERENTIATION_NTAR,MATCH(A41,PT_DIFFERENTIATION_NTAR_ID,0))</f>
        <v/>
      </c>
      <c r="AD41" s="5374"/>
      <c r="AE41" s="5374"/>
      <c r="AF41" s="5374"/>
      <c r="AG41" s="5374"/>
      <c r="AH41" s="5374"/>
      <c r="AI41" s="5374"/>
      <c r="AJ41" s="53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268</v>
      </c>
      <c r="B42" s="1289" t="s">
        <v>269</v>
      </c>
      <c r="C42" s="1289"/>
      <c r="D42" s="1289"/>
      <c r="E42" s="5382"/>
      <c r="F42" s="5381">
        <v>1</v>
      </c>
      <c r="G42" s="1289"/>
      <c r="H42" s="1289"/>
      <c r="I42" s="1289"/>
      <c r="J42" s="1289"/>
      <c r="K42" s="1289"/>
      <c r="L42" s="1290"/>
      <c r="M42" s="1291"/>
      <c r="N42" s="1291"/>
      <c r="O42" s="1291"/>
      <c r="P42" s="1379"/>
      <c r="Q42" s="288"/>
      <c r="R42" s="289"/>
      <c r="S42" s="1383" t="str">
        <f>INDEX(PT_DIFFERENTIATION_NUM_TER,MATCH(B42,PT_DIFFERENTIATION_TER_ID,0))</f>
        <v>.</v>
      </c>
      <c r="T42" s="245" t="s">
        <v>424</v>
      </c>
      <c r="U42" s="237"/>
      <c r="V42" s="5373"/>
      <c r="W42" s="5374"/>
      <c r="X42" s="5374"/>
      <c r="Y42" s="5374"/>
      <c r="Z42" s="5374"/>
      <c r="AA42" s="5374"/>
      <c r="AB42" s="5375"/>
      <c r="AC42" s="5373" t="str">
        <f>INDEX(PT_DIFFERENTIATION_TER,MATCH(B42,PT_DIFFERENTIATION_TER_ID,0))</f>
        <v/>
      </c>
      <c r="AD42" s="5374"/>
      <c r="AE42" s="5374"/>
      <c r="AF42" s="5374"/>
      <c r="AG42" s="5374"/>
      <c r="AH42" s="5374"/>
      <c r="AI42" s="5374"/>
      <c r="AJ42" s="5375"/>
      <c r="AK42" s="1184" t="s">
        <v>425</v>
      </c>
      <c r="AM42" s="436"/>
      <c r="AN42" s="436" t="str">
        <f t="shared" si="1"/>
        <v>Территория действия тарифа</v>
      </c>
      <c r="AO42" s="436"/>
      <c r="AP42" s="436"/>
      <c r="AQ42" s="1081">
        <v>23</v>
      </c>
    </row>
    <row r="43" spans="1:43" ht="24" customHeight="1">
      <c r="A43" s="1289" t="s">
        <v>268</v>
      </c>
      <c r="B43" s="1289" t="s">
        <v>269</v>
      </c>
      <c r="C43" s="1289" t="s">
        <v>270</v>
      </c>
      <c r="D43" s="1289"/>
      <c r="E43" s="5382"/>
      <c r="F43" s="5382"/>
      <c r="G43" s="5381">
        <v>1</v>
      </c>
      <c r="H43" s="1289"/>
      <c r="I43" s="1289"/>
      <c r="J43" s="1289"/>
      <c r="K43" s="1289"/>
      <c r="L43" s="1290"/>
      <c r="M43" s="1291"/>
      <c r="N43" s="1291"/>
      <c r="O43" s="1291"/>
      <c r="P43" s="290"/>
      <c r="Q43" s="288"/>
      <c r="R43" s="289"/>
      <c r="S43" s="1383" t="str">
        <f>INDEX(PT_DIFFERENTIATION_NUM_CS,MATCH(C43,PT_DIFFERENTIATION_CS_ID,0))</f>
        <v>..</v>
      </c>
      <c r="T43" s="246" t="s">
        <v>513</v>
      </c>
      <c r="U43" s="237"/>
      <c r="V43" s="5373"/>
      <c r="W43" s="5374"/>
      <c r="X43" s="5374"/>
      <c r="Y43" s="5374"/>
      <c r="Z43" s="5374"/>
      <c r="AA43" s="5374"/>
      <c r="AB43" s="5375"/>
      <c r="AC43" s="5373" t="str">
        <f>INDEX(PT_DIFFERENTIATION_CS,MATCH(C43,PT_DIFFERENTIATION_CS_ID,0))</f>
        <v/>
      </c>
      <c r="AD43" s="5374"/>
      <c r="AE43" s="5374"/>
      <c r="AF43" s="5374"/>
      <c r="AG43" s="5374"/>
      <c r="AH43" s="5374"/>
      <c r="AI43" s="5374"/>
      <c r="AJ43" s="5375"/>
      <c r="AK43" s="1184" t="s">
        <v>514</v>
      </c>
      <c r="AM43" s="436"/>
      <c r="AN43" s="436" t="str">
        <f t="shared" si="1"/>
        <v>Наименование централизованной системы холодного водоснабжения</v>
      </c>
      <c r="AO43" s="436"/>
      <c r="AP43" s="436"/>
      <c r="AQ43" s="1081">
        <v>23</v>
      </c>
    </row>
    <row r="44" spans="1:43" ht="24" customHeight="1">
      <c r="A44" s="1289" t="s">
        <v>268</v>
      </c>
      <c r="B44" s="1289" t="s">
        <v>269</v>
      </c>
      <c r="C44" s="1289" t="s">
        <v>270</v>
      </c>
      <c r="D44" s="1289" t="s">
        <v>530</v>
      </c>
      <c r="E44" s="5382"/>
      <c r="F44" s="5382"/>
      <c r="G44" s="5382"/>
      <c r="H44" s="5382"/>
      <c r="I44" s="5383" t="str">
        <f>S43&amp;".1"</f>
        <v>...1</v>
      </c>
      <c r="J44" s="1289"/>
      <c r="K44" s="1289"/>
      <c r="L44" s="1290"/>
      <c r="P44" s="5385">
        <v>1</v>
      </c>
      <c r="Q44" s="1376"/>
      <c r="R44" s="292"/>
      <c r="S44" s="1383" t="str">
        <f>$I44</f>
        <v>...1</v>
      </c>
      <c r="T44" s="222" t="s">
        <v>515</v>
      </c>
      <c r="U44" s="237"/>
      <c r="V44" s="5459"/>
      <c r="W44" s="5460"/>
      <c r="X44" s="5460"/>
      <c r="Y44" s="5460"/>
      <c r="Z44" s="5460"/>
      <c r="AA44" s="5460"/>
      <c r="AB44" s="5461"/>
      <c r="AC44" s="5462"/>
      <c r="AD44" s="5463"/>
      <c r="AE44" s="5463"/>
      <c r="AF44" s="5463"/>
      <c r="AG44" s="5463"/>
      <c r="AH44" s="5463"/>
      <c r="AI44" s="5463"/>
      <c r="AJ44" s="5464"/>
      <c r="AK44" s="1184" t="s">
        <v>516</v>
      </c>
      <c r="AM44" s="436"/>
      <c r="AN44" s="436" t="str">
        <f t="shared" si="1"/>
        <v>Наименование признака дифференциации</v>
      </c>
      <c r="AO44" s="436"/>
      <c r="AP44" s="436"/>
      <c r="AQ44" s="1081">
        <v>23</v>
      </c>
    </row>
    <row r="45" spans="1:43" ht="24" customHeight="1">
      <c r="A45" s="1289" t="s">
        <v>268</v>
      </c>
      <c r="B45" s="1289" t="s">
        <v>269</v>
      </c>
      <c r="C45" s="1289" t="s">
        <v>270</v>
      </c>
      <c r="D45" s="1289" t="s">
        <v>530</v>
      </c>
      <c r="E45" s="5382"/>
      <c r="F45" s="5382"/>
      <c r="G45" s="5382"/>
      <c r="H45" s="5382"/>
      <c r="I45" s="5384"/>
      <c r="J45" s="5383" t="str">
        <f>I44&amp;".1"</f>
        <v>...1.1</v>
      </c>
      <c r="K45" s="1289"/>
      <c r="L45" s="1290" t="s">
        <v>433</v>
      </c>
      <c r="P45" s="5385"/>
      <c r="Q45" s="5385">
        <v>1</v>
      </c>
      <c r="R45" s="293"/>
      <c r="S45" s="1383" t="str">
        <f>$J45</f>
        <v>...1.1</v>
      </c>
      <c r="T45" s="223" t="s">
        <v>434</v>
      </c>
      <c r="U45" s="237"/>
      <c r="V45" s="5366"/>
      <c r="W45" s="5367"/>
      <c r="X45" s="5367"/>
      <c r="Y45" s="5367"/>
      <c r="Z45" s="5367"/>
      <c r="AA45" s="5367"/>
      <c r="AB45" s="5368"/>
      <c r="AC45" s="5366"/>
      <c r="AD45" s="5367"/>
      <c r="AE45" s="5367"/>
      <c r="AF45" s="5367"/>
      <c r="AG45" s="5367"/>
      <c r="AH45" s="5367"/>
      <c r="AI45" s="5367"/>
      <c r="AJ45" s="5368"/>
      <c r="AK45" s="1233" t="s">
        <v>517</v>
      </c>
      <c r="AM45" s="436"/>
      <c r="AN45" s="436" t="str">
        <f t="shared" si="1"/>
        <v>Группа потребителей</v>
      </c>
      <c r="AO45" s="436"/>
      <c r="AP45" s="436"/>
      <c r="AQ45" s="1081">
        <v>23</v>
      </c>
    </row>
    <row r="46" spans="1:43" ht="24" customHeight="1">
      <c r="A46" s="1289" t="s">
        <v>268</v>
      </c>
      <c r="B46" s="1289" t="s">
        <v>269</v>
      </c>
      <c r="C46" s="1289" t="s">
        <v>270</v>
      </c>
      <c r="D46" s="1289" t="s">
        <v>530</v>
      </c>
      <c r="E46" s="5382"/>
      <c r="F46" s="5382"/>
      <c r="G46" s="5382"/>
      <c r="H46" s="5382"/>
      <c r="I46" s="5384"/>
      <c r="J46" s="5384"/>
      <c r="K46" s="5383" t="str">
        <f>J45&amp;".1"</f>
        <v>...1.1.1</v>
      </c>
      <c r="L46" s="1290"/>
      <c r="P46" s="5385"/>
      <c r="Q46" s="5385"/>
      <c r="R46" s="293">
        <v>1</v>
      </c>
      <c r="S46" s="1383" t="str">
        <f>$K46</f>
        <v>...1.1.1</v>
      </c>
      <c r="T46" s="1363"/>
      <c r="U46" s="237"/>
      <c r="V46" s="687"/>
      <c r="W46" s="687"/>
      <c r="X46" s="1183"/>
      <c r="Y46" s="5386"/>
      <c r="Z46" s="5245" t="s">
        <v>65</v>
      </c>
      <c r="AA46" s="5386"/>
      <c r="AB46" s="5245" t="s">
        <v>65</v>
      </c>
      <c r="AC46" s="687"/>
      <c r="AD46" s="687"/>
      <c r="AE46" s="1183"/>
      <c r="AF46" s="5386"/>
      <c r="AG46" s="5245" t="s">
        <v>65</v>
      </c>
      <c r="AH46" s="5388"/>
      <c r="AI46" s="5245" t="s">
        <v>65</v>
      </c>
      <c r="AJ46" s="1364"/>
      <c r="AK46"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268</v>
      </c>
      <c r="B47" s="1289" t="s">
        <v>269</v>
      </c>
      <c r="C47" s="1289" t="s">
        <v>270</v>
      </c>
      <c r="D47" s="1289" t="s">
        <v>530</v>
      </c>
      <c r="E47" s="5382"/>
      <c r="F47" s="5382"/>
      <c r="G47" s="5382"/>
      <c r="H47" s="5382"/>
      <c r="I47" s="5384"/>
      <c r="J47" s="5384"/>
      <c r="K47" s="5383"/>
      <c r="L47" s="1290"/>
      <c r="P47" s="5385"/>
      <c r="Q47" s="5385"/>
      <c r="R47" s="293"/>
      <c r="S47" s="1382"/>
      <c r="T47" s="237"/>
      <c r="U47" s="237"/>
      <c r="V47" s="262"/>
      <c r="W47" s="262"/>
      <c r="X47" s="265" t="str">
        <f>Y46&amp;"-"&amp;AA46</f>
        <v>-</v>
      </c>
      <c r="Y47" s="5387"/>
      <c r="Z47" s="5245"/>
      <c r="AA47" s="5387"/>
      <c r="AB47" s="5245"/>
      <c r="AC47" s="262"/>
      <c r="AD47" s="262"/>
      <c r="AE47" s="265" t="str">
        <f>AF46&amp;"-"&amp;AH46</f>
        <v>-</v>
      </c>
      <c r="AF47" s="5387"/>
      <c r="AG47" s="5245"/>
      <c r="AH47" s="5389"/>
      <c r="AI47" s="5245"/>
      <c r="AJ47" s="1365"/>
      <c r="AK47" s="5465"/>
      <c r="AM47" s="436"/>
      <c r="AN47" s="436" t="str">
        <f t="shared" si="1"/>
        <v/>
      </c>
      <c r="AO47" s="436"/>
      <c r="AP47" s="436"/>
      <c r="AQ47" s="1081">
        <v>0</v>
      </c>
    </row>
    <row r="48" spans="1:43" ht="21" customHeight="1">
      <c r="A48" s="1289" t="s">
        <v>268</v>
      </c>
      <c r="B48" s="1289" t="s">
        <v>269</v>
      </c>
      <c r="C48" s="1289" t="s">
        <v>270</v>
      </c>
      <c r="D48" s="1289" t="s">
        <v>530</v>
      </c>
      <c r="E48" s="5382"/>
      <c r="F48" s="5382"/>
      <c r="G48" s="5382"/>
      <c r="H48" s="5382"/>
      <c r="I48" s="5384"/>
      <c r="J48" s="5383"/>
      <c r="K48" s="1289"/>
      <c r="L48" s="1290"/>
      <c r="P48" s="5385"/>
      <c r="Q48" s="5385"/>
      <c r="R48" s="292"/>
      <c r="S48" s="1204"/>
      <c r="T48" s="224" t="s">
        <v>518</v>
      </c>
      <c r="U48" s="303"/>
      <c r="V48" s="303"/>
      <c r="W48" s="303"/>
      <c r="X48" s="303"/>
      <c r="Y48" s="303"/>
      <c r="Z48" s="303"/>
      <c r="AA48" s="303"/>
      <c r="AB48" s="303"/>
      <c r="AC48" s="303"/>
      <c r="AD48" s="303"/>
      <c r="AE48" s="303"/>
      <c r="AF48" s="303"/>
      <c r="AG48" s="303"/>
      <c r="AH48" s="303"/>
      <c r="AI48" s="303"/>
      <c r="AJ48" s="303"/>
      <c r="AK48" s="1184" t="s">
        <v>519</v>
      </c>
      <c r="AM48" s="436"/>
      <c r="AN48" s="436" t="str">
        <f t="shared" si="1"/>
        <v>Добавить значение признака дифференциации</v>
      </c>
      <c r="AO48" s="436"/>
      <c r="AP48" s="436"/>
      <c r="AQ48" s="1081">
        <v>20</v>
      </c>
    </row>
    <row r="49" spans="1:43" ht="21.95" customHeight="1">
      <c r="A49" s="1289" t="s">
        <v>268</v>
      </c>
      <c r="B49" s="1289" t="s">
        <v>269</v>
      </c>
      <c r="C49" s="1289" t="s">
        <v>270</v>
      </c>
      <c r="D49" s="1289" t="s">
        <v>530</v>
      </c>
      <c r="E49" s="5382"/>
      <c r="F49" s="5382"/>
      <c r="G49" s="5382"/>
      <c r="H49" s="5382"/>
      <c r="I49" s="5383"/>
      <c r="J49" s="1289"/>
      <c r="K49" s="1289"/>
      <c r="L49" s="1290"/>
      <c r="P49" s="5385"/>
      <c r="Q49" s="1376"/>
      <c r="R49" s="292"/>
      <c r="S49" s="1204"/>
      <c r="T49" s="301" t="s">
        <v>439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268</v>
      </c>
      <c r="B50" s="1289" t="s">
        <v>269</v>
      </c>
      <c r="C50" s="1289" t="s">
        <v>270</v>
      </c>
      <c r="D50" s="1289" t="s">
        <v>530</v>
      </c>
      <c r="E50" s="5382"/>
      <c r="F50" s="5382"/>
      <c r="G50" s="5382"/>
      <c r="H50" s="5381"/>
      <c r="I50" s="1289"/>
      <c r="J50" s="1289"/>
      <c r="K50" s="1289"/>
      <c r="L50" s="1290"/>
      <c r="M50" s="1291"/>
      <c r="N50" s="1291"/>
      <c r="O50" s="473"/>
      <c r="P50" s="296"/>
      <c r="Q50" s="311"/>
      <c r="R50" s="291"/>
      <c r="S50" s="1204"/>
      <c r="T50" s="308" t="s">
        <v>520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268</v>
      </c>
      <c r="B51" s="1269" t="s">
        <v>269</v>
      </c>
      <c r="C51" s="1240"/>
      <c r="D51" s="1240"/>
      <c r="E51" s="5382"/>
      <c r="F51" s="5381"/>
      <c r="G51" s="1240"/>
      <c r="H51" s="1240"/>
      <c r="I51" s="1240"/>
      <c r="J51" s="1240"/>
      <c r="K51" s="1240"/>
      <c r="L51" s="1384"/>
      <c r="M51" s="1247"/>
      <c r="N51" s="1247"/>
      <c r="P51" s="1242"/>
      <c r="Q51" s="1243"/>
      <c r="R51" s="1242"/>
      <c r="S51" s="1248"/>
      <c r="T51" s="1251" t="s">
        <v>164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268</v>
      </c>
      <c r="B52" s="1269"/>
      <c r="C52" s="1269"/>
      <c r="D52" s="1269"/>
      <c r="E52" s="5381"/>
      <c r="F52" s="1269"/>
      <c r="G52" s="1269"/>
      <c r="H52" s="1269"/>
      <c r="I52" s="1269"/>
      <c r="J52" s="1269"/>
      <c r="K52" s="1269"/>
      <c r="L52" s="1272"/>
      <c r="M52" s="1247"/>
      <c r="N52" s="1247"/>
      <c r="O52" s="454"/>
      <c r="P52" s="316"/>
      <c r="Q52" s="1270"/>
      <c r="R52" s="316"/>
      <c r="S52" s="1248"/>
      <c r="T52" s="1251" t="s">
        <v>165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182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5379"/>
      <c r="U55" s="5379"/>
      <c r="V55" s="5379"/>
      <c r="W55" s="5379"/>
      <c r="X55" s="5379"/>
      <c r="Y55" s="5379"/>
      <c r="Z55" s="5379"/>
      <c r="AA55" s="5379"/>
      <c r="AB55" s="5379"/>
      <c r="AC55" s="5379"/>
      <c r="AD55" s="5379"/>
      <c r="AE55" s="5379"/>
      <c r="AF55" s="5379"/>
      <c r="AG55" s="5379"/>
      <c r="AH55" s="5379"/>
      <c r="AI55" s="5379"/>
      <c r="AJ55" s="5379"/>
      <c r="AK55" s="5379"/>
      <c r="AQ55" s="1081">
        <v>14</v>
      </c>
    </row>
    <row r="56" spans="1:43" ht="14.65" customHeight="1">
      <c r="O56" s="473"/>
      <c r="AQ56" s="1081">
        <v>14</v>
      </c>
    </row>
    <row r="57" spans="1:43" ht="14.65" customHeight="1">
      <c r="O57" s="473"/>
      <c r="S57" s="1179"/>
      <c r="T57" s="5379"/>
      <c r="U57" s="5379"/>
      <c r="V57" s="5379"/>
      <c r="W57" s="5379"/>
      <c r="X57" s="5379"/>
      <c r="Y57" s="5379"/>
      <c r="Z57" s="5379"/>
      <c r="AA57" s="5379"/>
      <c r="AB57" s="5379"/>
      <c r="AC57" s="5379"/>
      <c r="AD57" s="5379"/>
      <c r="AE57" s="5379"/>
      <c r="AF57" s="5379"/>
      <c r="AG57" s="5379"/>
      <c r="AH57" s="5379"/>
      <c r="AI57" s="5379"/>
      <c r="AJ57" s="5379"/>
      <c r="AK57" s="5379"/>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15" hidden="1" customWidth="1"/>
    <col min="16" max="16" width="3" style="1701" customWidth="1"/>
    <col min="17" max="17" width="3" style="1297" customWidth="1"/>
    <col min="18" max="18" width="3" style="281" customWidth="1"/>
    <col min="19" max="19" width="12" style="201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5415">
        <v>1</v>
      </c>
      <c r="F2" s="1193"/>
      <c r="G2" s="1193"/>
      <c r="H2" s="1193"/>
      <c r="I2" s="1193"/>
      <c r="J2" s="1193"/>
      <c r="K2" s="1193"/>
      <c r="L2" s="1236"/>
      <c r="M2" s="1536"/>
      <c r="N2" s="1536"/>
      <c r="O2" s="1536"/>
      <c r="P2" s="1335"/>
      <c r="Q2" s="803"/>
      <c r="R2" s="291"/>
      <c r="S2" s="1879" t="e">
        <f>INDEX(PT_DIFFERENTIATION_NUM_NTAR,MATCH(A2,PT_DIFFERENTIATION_NTAR_ID,0))</f>
        <v>#N/A</v>
      </c>
      <c r="T2" s="1451" t="s">
        <v>125</v>
      </c>
      <c r="U2" s="237"/>
      <c r="V2" s="5374"/>
      <c r="W2" s="5374"/>
      <c r="X2" s="5374"/>
      <c r="Y2" s="5374"/>
      <c r="Z2" s="5374"/>
      <c r="AA2" s="5375"/>
      <c r="AB2" s="1873"/>
      <c r="AC2" s="5374" t="e">
        <f>INDEX(PT_DIFFERENTIATION_NTAR,MATCH(A2,PT_DIFFERENTIATION_NTAR_ID,0))</f>
        <v>#N/A</v>
      </c>
      <c r="AD2" s="5374"/>
      <c r="AE2" s="5374"/>
      <c r="AF2" s="5374"/>
      <c r="AG2" s="5374"/>
      <c r="AH2" s="5374"/>
      <c r="AI2" s="5374"/>
      <c r="AJ2" s="5375"/>
      <c r="AK2" s="1184" t="s">
        <v>423</v>
      </c>
      <c r="AM2" s="1550"/>
      <c r="AN2" s="1550" t="str">
        <f t="shared" ref="AN2:AN14" si="0">IF(T2="","",T2)</f>
        <v>Наименование тарифа</v>
      </c>
      <c r="AO2" s="1550"/>
      <c r="AP2" s="1550"/>
      <c r="AQ2" s="1557">
        <v>0</v>
      </c>
    </row>
    <row r="3" spans="1:43" ht="21" hidden="1" customHeight="1">
      <c r="A3" s="1193"/>
      <c r="B3" s="1193"/>
      <c r="C3" s="1193"/>
      <c r="D3" s="1193"/>
      <c r="E3" s="5416"/>
      <c r="F3" s="5415">
        <v>1</v>
      </c>
      <c r="G3" s="1193"/>
      <c r="H3" s="1193"/>
      <c r="I3" s="1193"/>
      <c r="J3" s="1193"/>
      <c r="K3" s="1193"/>
      <c r="L3" s="1236"/>
      <c r="M3" s="1536"/>
      <c r="N3" s="1536"/>
      <c r="O3" s="1536"/>
      <c r="P3" s="1890"/>
      <c r="Q3" s="1337"/>
      <c r="R3" s="289"/>
      <c r="S3" s="1879" t="e">
        <f>INDEX(PT_DIFFERENTIATION_NUM_TER,MATCH(B3,PT_DIFFERENTIATION_TER_ID,0))</f>
        <v>#N/A</v>
      </c>
      <c r="T3" s="1448" t="s">
        <v>424</v>
      </c>
      <c r="U3" s="237"/>
      <c r="V3" s="5374"/>
      <c r="W3" s="5374"/>
      <c r="X3" s="5374"/>
      <c r="Y3" s="5374"/>
      <c r="Z3" s="5374"/>
      <c r="AA3" s="5375"/>
      <c r="AB3" s="1873"/>
      <c r="AC3" s="5374" t="e">
        <f>INDEX(PT_DIFFERENTIATION_TER,MATCH(B3,PT_DIFFERENTIATION_TER_ID,0))</f>
        <v>#N/A</v>
      </c>
      <c r="AD3" s="5374"/>
      <c r="AE3" s="5374"/>
      <c r="AF3" s="5374"/>
      <c r="AG3" s="5374"/>
      <c r="AH3" s="5374"/>
      <c r="AI3" s="5374"/>
      <c r="AJ3" s="5375"/>
      <c r="AK3" s="1184" t="s">
        <v>425</v>
      </c>
      <c r="AM3" s="1550"/>
      <c r="AN3" s="1550" t="str">
        <f t="shared" si="0"/>
        <v>Территория действия тарифа</v>
      </c>
      <c r="AO3" s="1550"/>
      <c r="AP3" s="1550"/>
      <c r="AQ3" s="1557">
        <v>0</v>
      </c>
    </row>
    <row r="4" spans="1:43" ht="22.5" hidden="1" customHeight="1">
      <c r="A4" s="1193"/>
      <c r="B4" s="1193"/>
      <c r="C4" s="1193"/>
      <c r="D4" s="1193"/>
      <c r="E4" s="5416"/>
      <c r="F4" s="5416"/>
      <c r="G4" s="5415">
        <v>1</v>
      </c>
      <c r="H4" s="1193"/>
      <c r="I4" s="1193"/>
      <c r="J4" s="1193"/>
      <c r="K4" s="1193"/>
      <c r="L4" s="1236"/>
      <c r="M4" s="1536"/>
      <c r="N4" s="1536"/>
      <c r="O4" s="1536"/>
      <c r="P4" s="1338"/>
      <c r="Q4" s="1337"/>
      <c r="R4" s="289"/>
      <c r="S4" s="1879" t="e">
        <f>INDEX(PT_DIFFERENTIATION_NUM_CS,MATCH(C4,PT_DIFFERENTIATION_CS_ID,0))</f>
        <v>#N/A</v>
      </c>
      <c r="T4" s="246" t="s">
        <v>426</v>
      </c>
      <c r="U4" s="237"/>
      <c r="V4" s="5374"/>
      <c r="W4" s="5374"/>
      <c r="X4" s="5374"/>
      <c r="Y4" s="5374"/>
      <c r="Z4" s="5374"/>
      <c r="AA4" s="5375"/>
      <c r="AB4" s="1873"/>
      <c r="AC4" s="5374" t="e">
        <f>INDEX(PT_DIFFERENTIATION_CS,MATCH(C4,PT_DIFFERENTIATION_CS_ID,0))</f>
        <v>#N/A</v>
      </c>
      <c r="AD4" s="5374"/>
      <c r="AE4" s="5374"/>
      <c r="AF4" s="5374"/>
      <c r="AG4" s="5374"/>
      <c r="AH4" s="5374"/>
      <c r="AI4" s="5374"/>
      <c r="AJ4" s="5375"/>
      <c r="AK4" s="1184" t="s">
        <v>427</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5416"/>
      <c r="F5" s="5416"/>
      <c r="G5" s="5416"/>
      <c r="H5" s="5415">
        <v>1</v>
      </c>
      <c r="I5" s="1193"/>
      <c r="J5" s="1193"/>
      <c r="K5" s="1193"/>
      <c r="L5" s="1236"/>
      <c r="M5" s="1536"/>
      <c r="N5" s="1536"/>
      <c r="O5" s="1536"/>
      <c r="P5" s="1338"/>
      <c r="Q5" s="1337"/>
      <c r="R5" s="289"/>
      <c r="S5" s="1879" t="e">
        <f>INDEX(PT_DIFFERENTIATION_NUM_IST_TE,MATCH(D5,PT_DIFFERENTIATION_IST_TE_ID,0))</f>
        <v>#N/A</v>
      </c>
      <c r="T5" s="247" t="s">
        <v>428</v>
      </c>
      <c r="U5" s="237"/>
      <c r="V5" s="5374"/>
      <c r="W5" s="5374"/>
      <c r="X5" s="5374"/>
      <c r="Y5" s="5374"/>
      <c r="Z5" s="5374"/>
      <c r="AA5" s="5375"/>
      <c r="AB5" s="1873"/>
      <c r="AC5" s="5374" t="e">
        <f>INDEX(PT_DIFFERENTIATION_IST_TE,MATCH(D5,PT_DIFFERENTIATION_IST_TE_ID,0))</f>
        <v>#N/A</v>
      </c>
      <c r="AD5" s="5374"/>
      <c r="AE5" s="5374"/>
      <c r="AF5" s="5374"/>
      <c r="AG5" s="5374"/>
      <c r="AH5" s="5374"/>
      <c r="AI5" s="5374"/>
      <c r="AJ5" s="5375"/>
      <c r="AK5" s="1184" t="s">
        <v>429</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5416"/>
      <c r="F6" s="5416"/>
      <c r="G6" s="5416"/>
      <c r="H6" s="5416"/>
      <c r="I6" s="5235" t="e">
        <f>S5&amp;".1"</f>
        <v>#N/A</v>
      </c>
      <c r="J6" s="1301"/>
      <c r="K6" s="1301"/>
      <c r="L6" s="1307" t="s">
        <v>430</v>
      </c>
      <c r="M6" s="1172"/>
      <c r="N6" s="1172"/>
      <c r="O6" s="1172"/>
      <c r="P6" s="5385">
        <v>1</v>
      </c>
      <c r="Q6" s="1875"/>
      <c r="R6" s="292"/>
      <c r="S6" s="971"/>
      <c r="T6" s="1309"/>
      <c r="U6" s="1310"/>
      <c r="V6" s="5421"/>
      <c r="W6" s="5421"/>
      <c r="X6" s="5421"/>
      <c r="Y6" s="5421"/>
      <c r="Z6" s="5421"/>
      <c r="AA6" s="5422"/>
      <c r="AB6" s="1881"/>
      <c r="AC6" s="5421"/>
      <c r="AD6" s="5421"/>
      <c r="AE6" s="5421"/>
      <c r="AF6" s="5421"/>
      <c r="AG6" s="5421"/>
      <c r="AH6" s="5421"/>
      <c r="AI6" s="5421"/>
      <c r="AJ6" s="5422"/>
      <c r="AK6" s="1311"/>
      <c r="AM6" s="1550"/>
      <c r="AN6" s="1550" t="str">
        <f t="shared" si="0"/>
        <v/>
      </c>
      <c r="AO6" s="1550"/>
      <c r="AP6" s="1550"/>
      <c r="AQ6" s="1562">
        <v>0</v>
      </c>
    </row>
    <row r="7" spans="1:43" s="1568" customFormat="1" ht="0.75" hidden="1" customHeight="1">
      <c r="A7" s="1301"/>
      <c r="B7" s="1301"/>
      <c r="C7" s="1301"/>
      <c r="D7" s="1301"/>
      <c r="E7" s="5416"/>
      <c r="F7" s="5416"/>
      <c r="G7" s="5416"/>
      <c r="H7" s="5416"/>
      <c r="I7" s="5217"/>
      <c r="J7" s="5235" t="e">
        <f>S5&amp;".1"</f>
        <v>#N/A</v>
      </c>
      <c r="K7" s="1301"/>
      <c r="L7" s="1307"/>
      <c r="M7" s="1172"/>
      <c r="N7" s="1172"/>
      <c r="O7" s="1172"/>
      <c r="P7" s="5385"/>
      <c r="Q7" s="5385">
        <v>1</v>
      </c>
      <c r="R7" s="293"/>
      <c r="S7" s="971"/>
      <c r="T7" s="1325"/>
      <c r="U7" s="1310"/>
      <c r="V7" s="5421"/>
      <c r="W7" s="5421"/>
      <c r="X7" s="5421"/>
      <c r="Y7" s="5421"/>
      <c r="Z7" s="5421"/>
      <c r="AA7" s="5422"/>
      <c r="AB7" s="1881"/>
      <c r="AC7" s="5421"/>
      <c r="AD7" s="5421"/>
      <c r="AE7" s="5421"/>
      <c r="AF7" s="5421"/>
      <c r="AG7" s="5421"/>
      <c r="AH7" s="5421"/>
      <c r="AI7" s="5421"/>
      <c r="AJ7" s="5422"/>
      <c r="AK7" s="1311"/>
      <c r="AM7" s="1550"/>
      <c r="AN7" s="1550" t="str">
        <f t="shared" si="0"/>
        <v/>
      </c>
      <c r="AO7" s="1550"/>
      <c r="AP7" s="1550"/>
      <c r="AQ7" s="1562">
        <v>0</v>
      </c>
    </row>
    <row r="8" spans="1:43" ht="21" hidden="1" customHeight="1">
      <c r="A8" s="1193"/>
      <c r="B8" s="1193"/>
      <c r="C8" s="1193"/>
      <c r="D8" s="1193"/>
      <c r="E8" s="5416"/>
      <c r="F8" s="5416"/>
      <c r="G8" s="5416"/>
      <c r="H8" s="5416"/>
      <c r="I8" s="5217"/>
      <c r="J8" s="5217"/>
      <c r="K8" s="1912" t="e">
        <f>S5&amp;".1"</f>
        <v>#N/A</v>
      </c>
      <c r="L8" s="1236"/>
      <c r="P8" s="5385"/>
      <c r="Q8" s="5385"/>
      <c r="R8" s="1916">
        <v>1</v>
      </c>
      <c r="S8" s="1914" t="e">
        <f>$K8</f>
        <v>#N/A</v>
      </c>
      <c r="T8" s="1915"/>
      <c r="U8" s="237"/>
      <c r="V8" s="687"/>
      <c r="W8" s="1183"/>
      <c r="X8" s="1913"/>
      <c r="Y8" s="1911" t="s">
        <v>65</v>
      </c>
      <c r="Z8" s="1913"/>
      <c r="AA8" s="1911" t="s">
        <v>65</v>
      </c>
      <c r="AB8" s="1917"/>
      <c r="AC8" s="1918" t="s">
        <v>28</v>
      </c>
      <c r="AD8" s="687"/>
      <c r="AE8" s="1183"/>
      <c r="AF8" s="1876"/>
      <c r="AG8" s="1863" t="s">
        <v>65</v>
      </c>
      <c r="AH8" s="1876"/>
      <c r="AI8" s="1863" t="s">
        <v>65</v>
      </c>
      <c r="AJ8" s="1274"/>
      <c r="AK8" s="5405" t="s">
        <v>496</v>
      </c>
      <c r="AL8" s="1562" t="e">
        <f ca="1">STRCHECKDATE(#REF!)</f>
        <v>#NAME?</v>
      </c>
      <c r="AM8" s="1550"/>
      <c r="AN8" s="1550" t="str">
        <f t="shared" si="0"/>
        <v/>
      </c>
      <c r="AO8" s="1550"/>
      <c r="AP8" s="1550"/>
      <c r="AQ8" s="1557">
        <v>0</v>
      </c>
    </row>
    <row r="9" spans="1:43" ht="11.25" hidden="1" customHeight="1">
      <c r="A9" s="1193"/>
      <c r="B9" s="1193"/>
      <c r="C9" s="1193"/>
      <c r="D9" s="1193"/>
      <c r="E9" s="5416"/>
      <c r="F9" s="5416"/>
      <c r="G9" s="5416"/>
      <c r="H9" s="5416"/>
      <c r="I9" s="5217"/>
      <c r="J9" s="5235"/>
      <c r="K9" s="1193"/>
      <c r="L9" s="1236"/>
      <c r="P9" s="5385"/>
      <c r="Q9" s="5385"/>
      <c r="R9" s="292"/>
      <c r="S9" s="1204"/>
      <c r="T9" s="224" t="s">
        <v>500</v>
      </c>
      <c r="U9" s="536"/>
      <c r="V9" s="536"/>
      <c r="W9" s="536"/>
      <c r="X9" s="536"/>
      <c r="Y9" s="536"/>
      <c r="Z9" s="536"/>
      <c r="AA9" s="536"/>
      <c r="AB9" s="536"/>
      <c r="AC9" s="536"/>
      <c r="AD9" s="536"/>
      <c r="AE9" s="536"/>
      <c r="AF9" s="536"/>
      <c r="AG9" s="536"/>
      <c r="AH9" s="536"/>
      <c r="AI9" s="536"/>
      <c r="AJ9" s="261"/>
      <c r="AK9" s="5407"/>
      <c r="AM9" s="1550"/>
      <c r="AN9" s="1550" t="str">
        <f t="shared" si="0"/>
        <v>Добавить строку</v>
      </c>
      <c r="AO9" s="1550"/>
      <c r="AP9" s="1550"/>
      <c r="AQ9" s="1557">
        <v>0</v>
      </c>
    </row>
    <row r="10" spans="1:43" s="1568" customFormat="1" ht="0.75" hidden="1" customHeight="1">
      <c r="A10" s="1301"/>
      <c r="B10" s="1301"/>
      <c r="C10" s="1301"/>
      <c r="D10" s="1301"/>
      <c r="E10" s="5416"/>
      <c r="F10" s="5416"/>
      <c r="G10" s="5416"/>
      <c r="H10" s="5416"/>
      <c r="I10" s="5235"/>
      <c r="J10" s="1301"/>
      <c r="K10" s="1301"/>
      <c r="L10" s="1307"/>
      <c r="M10" s="1172"/>
      <c r="N10" s="1172"/>
      <c r="O10" s="1172"/>
      <c r="P10" s="5385"/>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5416"/>
      <c r="F11" s="5416"/>
      <c r="G11" s="5416"/>
      <c r="H11" s="5415"/>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5416"/>
      <c r="F12" s="5416"/>
      <c r="G12" s="5415"/>
      <c r="H12" s="1300"/>
      <c r="I12" s="1300"/>
      <c r="J12" s="1300"/>
      <c r="K12" s="1300"/>
      <c r="L12" s="1303"/>
      <c r="M12" s="1304"/>
      <c r="N12" s="1304"/>
      <c r="O12" s="287"/>
      <c r="P12" s="1242"/>
      <c r="Q12" s="1243"/>
      <c r="R12" s="1242"/>
      <c r="S12" s="1248"/>
      <c r="T12" s="1251" t="s">
        <v>163</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5416"/>
      <c r="F13" s="5415"/>
      <c r="G13" s="1300"/>
      <c r="H13" s="1300"/>
      <c r="I13" s="1300"/>
      <c r="J13" s="1300"/>
      <c r="K13" s="1300"/>
      <c r="L13" s="1303"/>
      <c r="M13" s="1305"/>
      <c r="N13" s="1305"/>
      <c r="O13" s="287"/>
      <c r="P13" s="1242"/>
      <c r="Q13" s="1243"/>
      <c r="R13" s="1242"/>
      <c r="S13" s="1248"/>
      <c r="T13" s="1251" t="s">
        <v>164</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5415"/>
      <c r="F14" s="1301"/>
      <c r="G14" s="1301"/>
      <c r="H14" s="1301"/>
      <c r="I14" s="1301"/>
      <c r="J14" s="1301"/>
      <c r="K14" s="1301"/>
      <c r="L14" s="1307"/>
      <c r="M14" s="1305"/>
      <c r="N14" s="1305"/>
      <c r="O14" s="287"/>
      <c r="P14" s="316"/>
      <c r="Q14" s="1270"/>
      <c r="R14" s="316"/>
      <c r="S14" s="1248"/>
      <c r="T14" s="1251" t="s">
        <v>165</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65</v>
      </c>
      <c r="AH16" s="1661"/>
      <c r="AI16" s="1887" t="s">
        <v>65</v>
      </c>
      <c r="AQ16" s="1557">
        <v>0</v>
      </c>
    </row>
    <row r="17" spans="1:43" ht="14.25" hidden="1" customHeight="1">
      <c r="AL17" s="1567"/>
      <c r="AM17" s="1567"/>
      <c r="AN17" s="1567"/>
      <c r="AO17" s="1567"/>
      <c r="AP17" s="1567"/>
      <c r="AQ17" s="1557">
        <v>0</v>
      </c>
    </row>
    <row r="18" spans="1:43" ht="14.25" hidden="1" customHeight="1">
      <c r="O18" s="1271" t="s">
        <v>441</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442</v>
      </c>
      <c r="P20" s="1434"/>
      <c r="Q20" s="1436"/>
      <c r="R20" s="1436"/>
      <c r="Y20" s="1433" t="s">
        <v>444</v>
      </c>
      <c r="AA20" s="1433" t="s">
        <v>445</v>
      </c>
      <c r="AC20" s="1433" t="s">
        <v>502</v>
      </c>
      <c r="AG20" s="1433" t="s">
        <v>444</v>
      </c>
      <c r="AI20" s="1433" t="s">
        <v>445</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535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5359"/>
      <c r="U24" s="5359"/>
      <c r="V24" s="5359"/>
      <c r="W24" s="5359"/>
      <c r="X24" s="5359"/>
      <c r="Y24" s="5359"/>
      <c r="Z24" s="5359"/>
      <c r="AA24" s="5359"/>
      <c r="AB24" s="5359"/>
      <c r="AC24" s="5359"/>
      <c r="AD24" s="5359"/>
      <c r="AE24" s="5359"/>
      <c r="AF24" s="5359"/>
      <c r="AG24" s="5359"/>
      <c r="AH24" s="5359"/>
      <c r="AI24" s="1169"/>
      <c r="AQ24" s="1557">
        <v>38</v>
      </c>
    </row>
    <row r="25" spans="1:43" ht="14.65" customHeight="1">
      <c r="Q25" s="228"/>
      <c r="R25" s="312"/>
      <c r="S25" s="5331" t="str">
        <f>IF(org=0,"Не определено",org)</f>
        <v>ПАО "ТГК-1" филиал "Невский"</v>
      </c>
      <c r="T25" s="5331"/>
      <c r="U25" s="5331"/>
      <c r="V25" s="5331"/>
      <c r="W25" s="5331"/>
      <c r="X25" s="5331"/>
      <c r="Y25" s="5331"/>
      <c r="Z25" s="5331"/>
      <c r="AA25" s="5331"/>
      <c r="AB25" s="5331"/>
      <c r="AC25" s="5331"/>
      <c r="AD25" s="5331"/>
      <c r="AE25" s="5331"/>
      <c r="AF25" s="5331"/>
      <c r="AG25" s="5331"/>
      <c r="AH25" s="5331"/>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5370" t="s">
        <v>42</v>
      </c>
      <c r="T27" s="5370"/>
      <c r="U27" s="1298"/>
      <c r="V27" s="5372" t="str">
        <f>IF(TITLE_NAME_OR_PR_CHANGE="",IF(TITLE_NAME_OR_PR="","",TITLE_NAME_OR_PR),TITLE_NAME_OR_PR_CHANGE)</f>
        <v>Комитет по тарифам Санкт-Петербурга</v>
      </c>
      <c r="W27" s="5372"/>
      <c r="X27" s="5372"/>
      <c r="Y27" s="5372"/>
      <c r="Z27" s="5372"/>
      <c r="AA27" s="1561"/>
      <c r="AB27" s="1561"/>
      <c r="AC27" s="5372"/>
      <c r="AD27" s="5372"/>
      <c r="AE27" s="5372"/>
      <c r="AF27" s="5372"/>
      <c r="AG27" s="5372"/>
      <c r="AH27" s="5372"/>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5370" t="s">
        <v>447</v>
      </c>
      <c r="T28" s="5370"/>
      <c r="U28" s="1298"/>
      <c r="V28" s="5371">
        <f>IF(TITLE_DATE_PR_CHANGE="",IF(TITLE_DATE_PR="","",TITLE_DATE_PR),TITLE_DATE_PR_CHANGE)</f>
        <v>45470</v>
      </c>
      <c r="W28" s="5371"/>
      <c r="X28" s="5371"/>
      <c r="Y28" s="5371"/>
      <c r="Z28" s="5371"/>
      <c r="AA28" s="1561"/>
      <c r="AB28" s="1561"/>
      <c r="AC28" s="5371"/>
      <c r="AD28" s="5371"/>
      <c r="AE28" s="5371"/>
      <c r="AF28" s="5371"/>
      <c r="AG28" s="5371"/>
      <c r="AH28" s="5371"/>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5370" t="s">
        <v>448</v>
      </c>
      <c r="T29" s="5370"/>
      <c r="U29" s="1298"/>
      <c r="V29" s="5372" t="str">
        <f>IF(TITLE_NUMBER_PR_CHANGE="",IF(TITLE_NUMBER_PR="","",TITLE_NUMBER_PR),TITLE_NUMBER_PR_CHANGE)</f>
        <v>94-р</v>
      </c>
      <c r="W29" s="5372"/>
      <c r="X29" s="5372"/>
      <c r="Y29" s="5372"/>
      <c r="Z29" s="5372"/>
      <c r="AA29" s="1561"/>
      <c r="AB29" s="1561"/>
      <c r="AC29" s="5372"/>
      <c r="AD29" s="5372"/>
      <c r="AE29" s="5372"/>
      <c r="AF29" s="5372"/>
      <c r="AG29" s="5372"/>
      <c r="AH29" s="5372"/>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5370" t="s">
        <v>44</v>
      </c>
      <c r="T30" s="5370"/>
      <c r="U30" s="1298"/>
      <c r="V30" s="5372" t="str">
        <f>IF(TITLE_IST_PUB_CHANGE="",IF(TITLE_IST_PUB="","",TITLE_IST_PUB),TITLE_IST_PUB_CHANGE)</f>
        <v>http://publication.pravo.gov.ru/document/7801202407010029</v>
      </c>
      <c r="W30" s="5372"/>
      <c r="X30" s="5372"/>
      <c r="Y30" s="5372"/>
      <c r="Z30" s="5372"/>
      <c r="AA30" s="1561"/>
      <c r="AB30" s="1561"/>
      <c r="AC30" s="5372"/>
      <c r="AD30" s="5372"/>
      <c r="AE30" s="5372"/>
      <c r="AF30" s="5372"/>
      <c r="AG30" s="5372"/>
      <c r="AH30" s="5372"/>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5370" t="s">
        <v>447</v>
      </c>
      <c r="T32" s="5370"/>
      <c r="U32" s="1298"/>
      <c r="V32" s="5371">
        <f>IF(TITLE_DATE_PR_CHANGE="",IF(TITLE_DATE_PR="","",TITLE_DATE_PR),TITLE_DATE_PR_CHANGE)</f>
        <v>45470</v>
      </c>
      <c r="W32" s="5371"/>
      <c r="X32" s="5371"/>
      <c r="Y32" s="5371"/>
      <c r="Z32" s="5371"/>
      <c r="AA32" s="1561"/>
      <c r="AB32" s="1561"/>
      <c r="AC32" s="5371"/>
      <c r="AD32" s="5371"/>
      <c r="AE32" s="5371"/>
      <c r="AF32" s="5371"/>
      <c r="AG32" s="5371"/>
      <c r="AH32" s="5371"/>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5370" t="s">
        <v>448</v>
      </c>
      <c r="T33" s="5370"/>
      <c r="U33" s="1298"/>
      <c r="V33" s="5372" t="str">
        <f>IF(TITLE_NUMBER_PR_CHANGE="",IF(TITLE_NUMBER_PR="","",TITLE_NUMBER_PR),TITLE_NUMBER_PR_CHANGE)</f>
        <v>94-р</v>
      </c>
      <c r="W33" s="5372"/>
      <c r="X33" s="5372"/>
      <c r="Y33" s="5372"/>
      <c r="Z33" s="5372"/>
      <c r="AA33" s="1561"/>
      <c r="AB33" s="1561"/>
      <c r="AC33" s="5372"/>
      <c r="AD33" s="5372"/>
      <c r="AE33" s="5372"/>
      <c r="AF33" s="5372"/>
      <c r="AG33" s="5372"/>
      <c r="AH33" s="5372"/>
      <c r="AI33" s="1561"/>
      <c r="AJ33" s="1561"/>
      <c r="AK33" s="217"/>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451</v>
      </c>
      <c r="AB34" s="1568"/>
      <c r="AC34" s="1561"/>
      <c r="AD34" s="1561"/>
      <c r="AE34" s="1561"/>
      <c r="AF34" s="1561"/>
      <c r="AG34" s="1561"/>
      <c r="AH34" s="1561"/>
      <c r="AI34" s="1568" t="s">
        <v>451</v>
      </c>
      <c r="AL34" s="304"/>
      <c r="AM34" s="304"/>
      <c r="AN34" s="304"/>
      <c r="AO34" s="304"/>
      <c r="AP34" s="304"/>
      <c r="AQ34" s="354">
        <v>1</v>
      </c>
    </row>
    <row r="35" spans="1:43" ht="14.65" customHeight="1">
      <c r="Q35" s="228"/>
      <c r="R35" s="312"/>
      <c r="S35" s="1201"/>
      <c r="T35" s="393"/>
      <c r="U35" s="1170"/>
      <c r="V35" s="5393"/>
      <c r="W35" s="5393"/>
      <c r="X35" s="5393"/>
      <c r="Y35" s="5393"/>
      <c r="Z35" s="5393"/>
      <c r="AA35" s="5393"/>
      <c r="AB35" s="1878"/>
      <c r="AC35" s="5393"/>
      <c r="AD35" s="5393"/>
      <c r="AE35" s="5393"/>
      <c r="AF35" s="5393"/>
      <c r="AG35" s="5393"/>
      <c r="AH35" s="5393"/>
      <c r="AI35" s="5393"/>
      <c r="AQ35" s="1557">
        <v>14</v>
      </c>
    </row>
    <row r="36" spans="1:43" ht="14.65" customHeight="1">
      <c r="Q36" s="228"/>
      <c r="R36" s="312"/>
      <c r="S36" s="5235" t="s">
        <v>327</v>
      </c>
      <c r="T36" s="5235"/>
      <c r="U36" s="5235"/>
      <c r="V36" s="5235"/>
      <c r="W36" s="5235"/>
      <c r="X36" s="5235"/>
      <c r="Y36" s="5235"/>
      <c r="Z36" s="5235"/>
      <c r="AA36" s="5311"/>
      <c r="AB36" s="5311"/>
      <c r="AC36" s="5311"/>
      <c r="AD36" s="5235"/>
      <c r="AE36" s="5235"/>
      <c r="AF36" s="5235"/>
      <c r="AG36" s="5235"/>
      <c r="AH36" s="5235"/>
      <c r="AI36" s="5235"/>
      <c r="AJ36" s="5235"/>
      <c r="AK36" s="5235" t="s">
        <v>328</v>
      </c>
      <c r="AQ36" s="1557">
        <v>14</v>
      </c>
    </row>
    <row r="37" spans="1:43" ht="14.65" customHeight="1">
      <c r="Q37" s="228"/>
      <c r="R37" s="312"/>
      <c r="S37" s="5395" t="s">
        <v>90</v>
      </c>
      <c r="T37" s="5339" t="s">
        <v>531</v>
      </c>
      <c r="U37" s="274"/>
      <c r="V37" s="5397"/>
      <c r="W37" s="5397"/>
      <c r="X37" s="5397"/>
      <c r="Y37" s="5397"/>
      <c r="Z37" s="5397"/>
      <c r="AA37" s="5339" t="s">
        <v>454</v>
      </c>
      <c r="AB37" s="5338" t="s">
        <v>532</v>
      </c>
      <c r="AC37" s="5338" t="s">
        <v>506</v>
      </c>
      <c r="AD37" s="5419" t="s">
        <v>453</v>
      </c>
      <c r="AE37" s="5419"/>
      <c r="AF37" s="5397"/>
      <c r="AG37" s="5397"/>
      <c r="AH37" s="5398"/>
      <c r="AI37" s="5399" t="s">
        <v>454</v>
      </c>
      <c r="AJ37" s="5402" t="s">
        <v>456</v>
      </c>
      <c r="AK37" s="5235"/>
      <c r="AQ37" s="1557">
        <v>14</v>
      </c>
    </row>
    <row r="38" spans="1:43" ht="35.65" customHeight="1">
      <c r="Q38" s="228"/>
      <c r="R38" s="312"/>
      <c r="S38" s="5395"/>
      <c r="T38" s="5339"/>
      <c r="U38" s="960"/>
      <c r="V38" s="5216" t="s">
        <v>509</v>
      </c>
      <c r="W38" s="5235"/>
      <c r="X38" s="5312" t="s">
        <v>460</v>
      </c>
      <c r="Y38" s="5432"/>
      <c r="Z38" s="5432"/>
      <c r="AA38" s="5339"/>
      <c r="AB38" s="5338"/>
      <c r="AC38" s="5338"/>
      <c r="AD38" s="5216" t="s">
        <v>509</v>
      </c>
      <c r="AE38" s="5235"/>
      <c r="AF38" s="5432" t="s">
        <v>460</v>
      </c>
      <c r="AG38" s="5432"/>
      <c r="AH38" s="5313"/>
      <c r="AI38" s="5400"/>
      <c r="AJ38" s="5403"/>
      <c r="AK38" s="5235"/>
      <c r="AQ38" s="1557">
        <v>34</v>
      </c>
    </row>
    <row r="39" spans="1:43" ht="14.65" customHeight="1">
      <c r="Q39" s="228"/>
      <c r="R39" s="312"/>
      <c r="S39" s="5395"/>
      <c r="T39" s="5339"/>
      <c r="U39" s="960"/>
      <c r="V39" s="5457" t="str">
        <f>IF($AD$39&lt;&gt;"",$AD$39,"")</f>
        <v/>
      </c>
      <c r="W39" s="5457"/>
      <c r="X39" s="5317"/>
      <c r="Y39" s="5433"/>
      <c r="Z39" s="5433"/>
      <c r="AA39" s="5339"/>
      <c r="AB39" s="5338"/>
      <c r="AC39" s="5338"/>
      <c r="AD39" s="5466"/>
      <c r="AE39" s="5456"/>
      <c r="AF39" s="5433"/>
      <c r="AG39" s="5433"/>
      <c r="AH39" s="5318"/>
      <c r="AI39" s="5400"/>
      <c r="AJ39" s="5403"/>
      <c r="AK39" s="5235"/>
      <c r="AQ39" s="1557">
        <v>14</v>
      </c>
    </row>
    <row r="40" spans="1:43" ht="14.65" customHeight="1">
      <c r="A40" s="1192"/>
      <c r="B40" s="1192" t="s">
        <v>137</v>
      </c>
      <c r="C40" s="1192" t="s">
        <v>138</v>
      </c>
      <c r="D40" s="1192" t="s">
        <v>139</v>
      </c>
      <c r="E40" s="1236" t="s">
        <v>461</v>
      </c>
      <c r="F40" s="1236" t="s">
        <v>462</v>
      </c>
      <c r="G40" s="1236" t="s">
        <v>463</v>
      </c>
      <c r="H40" s="1236" t="s">
        <v>464</v>
      </c>
      <c r="I40" s="1236" t="s">
        <v>465</v>
      </c>
      <c r="J40" s="1236" t="s">
        <v>466</v>
      </c>
      <c r="K40" s="1236" t="s">
        <v>467</v>
      </c>
      <c r="L40" s="1236" t="s">
        <v>442</v>
      </c>
      <c r="Q40" s="228"/>
      <c r="R40" s="312"/>
      <c r="S40" s="5395"/>
      <c r="T40" s="5339"/>
      <c r="U40" s="239"/>
      <c r="V40" s="1871" t="s">
        <v>510</v>
      </c>
      <c r="W40" s="1871" t="s">
        <v>511</v>
      </c>
      <c r="X40" s="1859" t="s">
        <v>470</v>
      </c>
      <c r="Y40" s="5344" t="s">
        <v>471</v>
      </c>
      <c r="Z40" s="5357"/>
      <c r="AA40" s="5339"/>
      <c r="AB40" s="5338"/>
      <c r="AC40" s="5338"/>
      <c r="AD40" s="1889" t="s">
        <v>510</v>
      </c>
      <c r="AE40" s="1880" t="s">
        <v>511</v>
      </c>
      <c r="AF40" s="1859" t="s">
        <v>470</v>
      </c>
      <c r="AG40" s="5344" t="s">
        <v>471</v>
      </c>
      <c r="AH40" s="5358"/>
      <c r="AI40" s="5401"/>
      <c r="AJ40" s="5404"/>
      <c r="AK40" s="5235"/>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111</v>
      </c>
      <c r="T41" s="1181" t="s">
        <v>112</v>
      </c>
      <c r="U41" s="1171" t="str">
        <f ca="1">OFFSET(U41,0,-1)</f>
        <v>2</v>
      </c>
      <c r="V41" s="1877">
        <f ca="1">OFFSET(V41,0,-1)+1</f>
        <v>3</v>
      </c>
      <c r="W41" s="1877">
        <f ca="1">OFFSET(W41,0,-1)+1</f>
        <v>4</v>
      </c>
      <c r="X41" s="1877">
        <f ca="1">OFFSET(X41,0,-1)+1</f>
        <v>5</v>
      </c>
      <c r="Y41" s="5392">
        <f ca="1">OFFSET(Y41,0,-1)+1</f>
        <v>6</v>
      </c>
      <c r="Z41" s="5392"/>
      <c r="AA41" s="1267">
        <f ca="1">OFFSET(AA41,0,-2)+1</f>
        <v>7</v>
      </c>
      <c r="AB41" s="1267"/>
      <c r="AC41" s="1267"/>
      <c r="AD41" s="1877">
        <f ca="1">OFFSET(AD41,0,-1)+1</f>
        <v>1</v>
      </c>
      <c r="AE41" s="1877">
        <f ca="1">OFFSET(AE41,0,-1)+1</f>
        <v>2</v>
      </c>
      <c r="AF41" s="1877">
        <f ca="1">OFFSET(AF41,0,-1)+1</f>
        <v>3</v>
      </c>
      <c r="AG41" s="5392">
        <f ca="1">OFFSET(AG41,0,-1)+1</f>
        <v>4</v>
      </c>
      <c r="AH41" s="5392"/>
      <c r="AI41" s="1877">
        <f ca="1">OFFSET(AI41,0,-2)+1</f>
        <v>5</v>
      </c>
      <c r="AJ41" s="1171">
        <f ca="1">OFFSET(AJ41,0,-1)</f>
        <v>5</v>
      </c>
      <c r="AK41" s="1877">
        <f ca="1">OFFSET(AK41,0,-1)+1</f>
        <v>6</v>
      </c>
      <c r="AL41" s="1562"/>
      <c r="AM41" s="1562"/>
      <c r="AN41" s="1562"/>
      <c r="AO41" s="1562"/>
      <c r="AP41" s="1562"/>
      <c r="AQ41" s="1567">
        <v>0</v>
      </c>
    </row>
    <row r="42" spans="1:43" ht="107.25" customHeight="1">
      <c r="A42" s="1193" t="s">
        <v>233</v>
      </c>
      <c r="B42" s="1193"/>
      <c r="C42" s="1193"/>
      <c r="D42" s="1193"/>
      <c r="E42" s="5415">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125</v>
      </c>
      <c r="U42" s="237"/>
      <c r="V42" s="5374"/>
      <c r="W42" s="5374"/>
      <c r="X42" s="5374"/>
      <c r="Y42" s="5374"/>
      <c r="Z42" s="5374"/>
      <c r="AA42" s="5375"/>
      <c r="AB42" s="1873"/>
      <c r="AC42" s="5374" t="str">
        <f>INDEX(PT_DIFFERENTIATION_NTAR,MATCH(A42,PT_DIFFERENTIATION_NTAR_ID,0))</f>
        <v/>
      </c>
      <c r="AD42" s="5374"/>
      <c r="AE42" s="5374"/>
      <c r="AF42" s="5374"/>
      <c r="AG42" s="5374"/>
      <c r="AH42" s="5374"/>
      <c r="AI42" s="5374"/>
      <c r="AJ42" s="5375"/>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233</v>
      </c>
      <c r="B43" s="1193" t="s">
        <v>234</v>
      </c>
      <c r="C43" s="1193"/>
      <c r="D43" s="1193"/>
      <c r="E43" s="5416"/>
      <c r="F43" s="5415">
        <v>1</v>
      </c>
      <c r="G43" s="1193"/>
      <c r="H43" s="1193"/>
      <c r="I43" s="1193"/>
      <c r="J43" s="1193"/>
      <c r="K43" s="1193"/>
      <c r="L43" s="1236"/>
      <c r="M43" s="1536"/>
      <c r="N43" s="1536"/>
      <c r="O43" s="1536"/>
      <c r="P43" s="1890"/>
      <c r="Q43" s="1337"/>
      <c r="R43" s="289"/>
      <c r="S43" s="1879" t="str">
        <f>INDEX(PT_DIFFERENTIATION_NUM_TER,MATCH(B43,PT_DIFFERENTIATION_TER_ID,0))</f>
        <v>.</v>
      </c>
      <c r="T43" s="1448" t="s">
        <v>424</v>
      </c>
      <c r="U43" s="237"/>
      <c r="V43" s="5374"/>
      <c r="W43" s="5374"/>
      <c r="X43" s="5374"/>
      <c r="Y43" s="5374"/>
      <c r="Z43" s="5374"/>
      <c r="AA43" s="5375"/>
      <c r="AB43" s="1873"/>
      <c r="AC43" s="5374" t="str">
        <f>INDEX(PT_DIFFERENTIATION_TER,MATCH(B43,PT_DIFFERENTIATION_TER_ID,0))</f>
        <v/>
      </c>
      <c r="AD43" s="5374"/>
      <c r="AE43" s="5374"/>
      <c r="AF43" s="5374"/>
      <c r="AG43" s="5374"/>
      <c r="AH43" s="5374"/>
      <c r="AI43" s="5374"/>
      <c r="AJ43" s="5375"/>
      <c r="AK43" s="1184" t="s">
        <v>425</v>
      </c>
      <c r="AM43" s="1550"/>
      <c r="AN43" s="1550" t="str">
        <f t="shared" si="1"/>
        <v>Территория действия тарифа</v>
      </c>
      <c r="AO43" s="1550"/>
      <c r="AP43" s="1550"/>
      <c r="AQ43" s="1557">
        <v>21</v>
      </c>
    </row>
    <row r="44" spans="1:43" ht="24" customHeight="1">
      <c r="A44" s="1193" t="s">
        <v>233</v>
      </c>
      <c r="B44" s="1193" t="s">
        <v>234</v>
      </c>
      <c r="C44" s="1193" t="s">
        <v>235</v>
      </c>
      <c r="D44" s="1193"/>
      <c r="E44" s="5416"/>
      <c r="F44" s="5416"/>
      <c r="G44" s="5415">
        <v>1</v>
      </c>
      <c r="H44" s="1193"/>
      <c r="I44" s="1193"/>
      <c r="J44" s="1193"/>
      <c r="K44" s="1193"/>
      <c r="L44" s="1236"/>
      <c r="M44" s="1536"/>
      <c r="N44" s="1536"/>
      <c r="O44" s="1536"/>
      <c r="P44" s="1338"/>
      <c r="Q44" s="1337"/>
      <c r="R44" s="289"/>
      <c r="S44" s="1879" t="str">
        <f>INDEX(PT_DIFFERENTIATION_NUM_CS,MATCH(C44,PT_DIFFERENTIATION_CS_ID,0))</f>
        <v>..</v>
      </c>
      <c r="T44" s="246" t="s">
        <v>426</v>
      </c>
      <c r="U44" s="237"/>
      <c r="V44" s="5374"/>
      <c r="W44" s="5374"/>
      <c r="X44" s="5374"/>
      <c r="Y44" s="5374"/>
      <c r="Z44" s="5374"/>
      <c r="AA44" s="5375"/>
      <c r="AB44" s="1873"/>
      <c r="AC44" s="5374" t="str">
        <f>INDEX(PT_DIFFERENTIATION_CS,MATCH(C44,PT_DIFFERENTIATION_CS_ID,0))</f>
        <v/>
      </c>
      <c r="AD44" s="5374"/>
      <c r="AE44" s="5374"/>
      <c r="AF44" s="5374"/>
      <c r="AG44" s="5374"/>
      <c r="AH44" s="5374"/>
      <c r="AI44" s="5374"/>
      <c r="AJ44" s="5375"/>
      <c r="AK44" s="1184" t="s">
        <v>427</v>
      </c>
      <c r="AM44" s="1550"/>
      <c r="AN44" s="1550" t="str">
        <f t="shared" si="1"/>
        <v xml:space="preserve">Наименование системы теплоснабжения </v>
      </c>
      <c r="AO44" s="1550"/>
      <c r="AP44" s="1550"/>
      <c r="AQ44" s="1557">
        <v>23</v>
      </c>
    </row>
    <row r="45" spans="1:43" ht="21.95" customHeight="1">
      <c r="A45" s="1193" t="s">
        <v>233</v>
      </c>
      <c r="B45" s="1193" t="s">
        <v>234</v>
      </c>
      <c r="C45" s="1193" t="s">
        <v>235</v>
      </c>
      <c r="D45" s="1193" t="s">
        <v>236</v>
      </c>
      <c r="E45" s="5416"/>
      <c r="F45" s="5416"/>
      <c r="G45" s="5416"/>
      <c r="H45" s="5415">
        <v>1</v>
      </c>
      <c r="I45" s="1193"/>
      <c r="J45" s="1193"/>
      <c r="K45" s="1193"/>
      <c r="L45" s="1236"/>
      <c r="M45" s="1536"/>
      <c r="N45" s="1536"/>
      <c r="O45" s="1536"/>
      <c r="P45" s="1338"/>
      <c r="Q45" s="1337"/>
      <c r="R45" s="289"/>
      <c r="S45" s="1879" t="str">
        <f>INDEX(PT_DIFFERENTIATION_NUM_IST_TE,MATCH(D45,PT_DIFFERENTIATION_IST_TE_ID,0))</f>
        <v>...</v>
      </c>
      <c r="T45" s="247" t="s">
        <v>428</v>
      </c>
      <c r="U45" s="237"/>
      <c r="V45" s="5374"/>
      <c r="W45" s="5374"/>
      <c r="X45" s="5374"/>
      <c r="Y45" s="5374"/>
      <c r="Z45" s="5374"/>
      <c r="AA45" s="5375"/>
      <c r="AB45" s="1873"/>
      <c r="AC45" s="5374" t="str">
        <f>INDEX(PT_DIFFERENTIATION_IST_TE,MATCH(D45,PT_DIFFERENTIATION_IST_TE_ID,0))</f>
        <v/>
      </c>
      <c r="AD45" s="5374"/>
      <c r="AE45" s="5374"/>
      <c r="AF45" s="5374"/>
      <c r="AG45" s="5374"/>
      <c r="AH45" s="5374"/>
      <c r="AI45" s="5374"/>
      <c r="AJ45" s="5375"/>
      <c r="AK45" s="1184" t="s">
        <v>429</v>
      </c>
      <c r="AM45" s="1550"/>
      <c r="AN45" s="1550" t="str">
        <f t="shared" si="1"/>
        <v xml:space="preserve">Источник тепловой энергии  </v>
      </c>
      <c r="AO45" s="1550"/>
      <c r="AP45" s="1550"/>
      <c r="AQ45" s="1557">
        <v>21</v>
      </c>
    </row>
    <row r="46" spans="1:43" s="1568" customFormat="1" ht="0" hidden="1" customHeight="1">
      <c r="A46" s="1301" t="s">
        <v>233</v>
      </c>
      <c r="B46" s="1301" t="s">
        <v>234</v>
      </c>
      <c r="C46" s="1301" t="s">
        <v>235</v>
      </c>
      <c r="D46" s="1301" t="s">
        <v>236</v>
      </c>
      <c r="E46" s="5416"/>
      <c r="F46" s="5416"/>
      <c r="G46" s="5416"/>
      <c r="H46" s="5416"/>
      <c r="I46" s="5235" t="str">
        <f>S45&amp;".1"</f>
        <v>....1</v>
      </c>
      <c r="J46" s="1301"/>
      <c r="K46" s="1301"/>
      <c r="L46" s="1307" t="s">
        <v>430</v>
      </c>
      <c r="M46" s="1172"/>
      <c r="N46" s="1172"/>
      <c r="O46" s="1172"/>
      <c r="P46" s="5385">
        <v>1</v>
      </c>
      <c r="Q46" s="1875"/>
      <c r="R46" s="292"/>
      <c r="S46" s="971"/>
      <c r="T46" s="1309"/>
      <c r="U46" s="1310"/>
      <c r="V46" s="5421"/>
      <c r="W46" s="5421"/>
      <c r="X46" s="5421"/>
      <c r="Y46" s="5421"/>
      <c r="Z46" s="5421"/>
      <c r="AA46" s="5422"/>
      <c r="AB46" s="1881"/>
      <c r="AC46" s="5421"/>
      <c r="AD46" s="5421"/>
      <c r="AE46" s="5421"/>
      <c r="AF46" s="5421"/>
      <c r="AG46" s="5421"/>
      <c r="AH46" s="5421"/>
      <c r="AI46" s="5421"/>
      <c r="AJ46" s="5422"/>
      <c r="AK46" s="1311"/>
      <c r="AM46" s="1550"/>
      <c r="AN46" s="1550" t="str">
        <f t="shared" si="1"/>
        <v/>
      </c>
      <c r="AO46" s="1550"/>
      <c r="AP46" s="1550"/>
      <c r="AQ46" s="1562">
        <v>0</v>
      </c>
    </row>
    <row r="47" spans="1:43" s="1568" customFormat="1" ht="0" hidden="1" customHeight="1">
      <c r="A47" s="1301" t="s">
        <v>233</v>
      </c>
      <c r="B47" s="1301" t="s">
        <v>234</v>
      </c>
      <c r="C47" s="1301" t="s">
        <v>235</v>
      </c>
      <c r="D47" s="1301" t="s">
        <v>236</v>
      </c>
      <c r="E47" s="5416"/>
      <c r="F47" s="5416"/>
      <c r="G47" s="5416"/>
      <c r="H47" s="5416"/>
      <c r="I47" s="5217"/>
      <c r="J47" s="5235" t="str">
        <f>S45&amp;".1"</f>
        <v>....1</v>
      </c>
      <c r="K47" s="1301"/>
      <c r="L47" s="1307"/>
      <c r="M47" s="1172"/>
      <c r="N47" s="1172"/>
      <c r="O47" s="1172"/>
      <c r="P47" s="5385"/>
      <c r="Q47" s="5385">
        <v>1</v>
      </c>
      <c r="R47" s="293"/>
      <c r="S47" s="971"/>
      <c r="T47" s="1325"/>
      <c r="U47" s="1310"/>
      <c r="V47" s="5421"/>
      <c r="W47" s="5421"/>
      <c r="X47" s="5421"/>
      <c r="Y47" s="5421"/>
      <c r="Z47" s="5421"/>
      <c r="AA47" s="5422"/>
      <c r="AB47" s="1881"/>
      <c r="AC47" s="5421"/>
      <c r="AD47" s="5421"/>
      <c r="AE47" s="5421"/>
      <c r="AF47" s="5421"/>
      <c r="AG47" s="5421"/>
      <c r="AH47" s="5421"/>
      <c r="AI47" s="5421"/>
      <c r="AJ47" s="5422"/>
      <c r="AK47" s="1311"/>
      <c r="AM47" s="1550"/>
      <c r="AN47" s="1550" t="str">
        <f t="shared" si="1"/>
        <v/>
      </c>
      <c r="AO47" s="1550"/>
      <c r="AP47" s="1550"/>
      <c r="AQ47" s="1562">
        <v>0</v>
      </c>
    </row>
    <row r="48" spans="1:43" ht="21.95" customHeight="1">
      <c r="A48" s="1193" t="s">
        <v>233</v>
      </c>
      <c r="B48" s="1193" t="s">
        <v>234</v>
      </c>
      <c r="C48" s="1193" t="s">
        <v>235</v>
      </c>
      <c r="D48" s="1193" t="s">
        <v>236</v>
      </c>
      <c r="E48" s="5416"/>
      <c r="F48" s="5416"/>
      <c r="G48" s="5416"/>
      <c r="H48" s="5416"/>
      <c r="I48" s="5217"/>
      <c r="J48" s="5217"/>
      <c r="K48" s="1862" t="str">
        <f>S45&amp;".1"</f>
        <v>....1</v>
      </c>
      <c r="L48" s="1236"/>
      <c r="P48" s="5385"/>
      <c r="Q48" s="5385"/>
      <c r="R48" s="293">
        <v>1</v>
      </c>
      <c r="S48" s="1883" t="str">
        <f>$K48</f>
        <v>....1</v>
      </c>
      <c r="T48" s="1882"/>
      <c r="U48" s="237"/>
      <c r="V48" s="687"/>
      <c r="W48" s="1183"/>
      <c r="X48" s="1876"/>
      <c r="Y48" s="1863" t="s">
        <v>65</v>
      </c>
      <c r="Z48" s="1876"/>
      <c r="AA48" s="1863" t="s">
        <v>65</v>
      </c>
      <c r="AB48" s="1885"/>
      <c r="AC48" s="1884" t="s">
        <v>28</v>
      </c>
      <c r="AD48" s="687"/>
      <c r="AE48" s="1183"/>
      <c r="AF48" s="1876"/>
      <c r="AG48" s="1863" t="s">
        <v>65</v>
      </c>
      <c r="AH48" s="1876"/>
      <c r="AI48" s="1863" t="s">
        <v>65</v>
      </c>
      <c r="AJ48" s="1274"/>
      <c r="AK48" s="5405" t="s">
        <v>512</v>
      </c>
      <c r="AL48" s="1562" t="e">
        <f ca="1">STRCHECKDATE(#REF!)</f>
        <v>#NAME?</v>
      </c>
      <c r="AM48" s="1550"/>
      <c r="AN48" s="1550" t="str">
        <f t="shared" si="1"/>
        <v/>
      </c>
      <c r="AO48" s="1550"/>
      <c r="AP48" s="1550"/>
      <c r="AQ48" s="1557">
        <v>21</v>
      </c>
    </row>
    <row r="49" spans="1:43" ht="11.45" customHeight="1">
      <c r="A49" s="1193" t="s">
        <v>233</v>
      </c>
      <c r="B49" s="1193" t="s">
        <v>234</v>
      </c>
      <c r="C49" s="1193" t="s">
        <v>235</v>
      </c>
      <c r="D49" s="1193" t="s">
        <v>236</v>
      </c>
      <c r="E49" s="5416"/>
      <c r="F49" s="5416"/>
      <c r="G49" s="5416"/>
      <c r="H49" s="5416"/>
      <c r="I49" s="5217"/>
      <c r="J49" s="5235"/>
      <c r="K49" s="1193"/>
      <c r="L49" s="1236"/>
      <c r="P49" s="5385"/>
      <c r="Q49" s="5385"/>
      <c r="R49" s="292"/>
      <c r="S49" s="1204"/>
      <c r="T49" s="224" t="s">
        <v>500</v>
      </c>
      <c r="U49" s="536"/>
      <c r="V49" s="536"/>
      <c r="W49" s="536"/>
      <c r="X49" s="536"/>
      <c r="Y49" s="536"/>
      <c r="Z49" s="536"/>
      <c r="AA49" s="261"/>
      <c r="AB49" s="536"/>
      <c r="AC49" s="536"/>
      <c r="AD49" s="536"/>
      <c r="AE49" s="536"/>
      <c r="AF49" s="536"/>
      <c r="AG49" s="536"/>
      <c r="AH49" s="536"/>
      <c r="AI49" s="536"/>
      <c r="AJ49" s="261"/>
      <c r="AK49" s="5407"/>
      <c r="AM49" s="1550"/>
      <c r="AN49" s="1550" t="str">
        <f t="shared" si="1"/>
        <v>Добавить строку</v>
      </c>
      <c r="AO49" s="1550"/>
      <c r="AP49" s="1550"/>
      <c r="AQ49" s="1557">
        <v>11</v>
      </c>
    </row>
    <row r="50" spans="1:43" s="1568" customFormat="1" ht="1.1499999999999999" customHeight="1">
      <c r="A50" s="1301" t="s">
        <v>233</v>
      </c>
      <c r="B50" s="1301" t="s">
        <v>234</v>
      </c>
      <c r="C50" s="1301" t="s">
        <v>235</v>
      </c>
      <c r="D50" s="1301" t="s">
        <v>236</v>
      </c>
      <c r="E50" s="5416"/>
      <c r="F50" s="5416"/>
      <c r="G50" s="5416"/>
      <c r="H50" s="5416"/>
      <c r="I50" s="5235"/>
      <c r="J50" s="1301"/>
      <c r="K50" s="1301"/>
      <c r="L50" s="1307"/>
      <c r="M50" s="1172"/>
      <c r="N50" s="1172"/>
      <c r="O50" s="1172"/>
      <c r="P50" s="5385"/>
      <c r="Q50" s="1875"/>
      <c r="R50" s="292"/>
      <c r="S50" s="1312"/>
      <c r="T50" s="1313" t="s">
        <v>439</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233</v>
      </c>
      <c r="B51" s="1301" t="s">
        <v>234</v>
      </c>
      <c r="C51" s="1301" t="s">
        <v>235</v>
      </c>
      <c r="D51" s="1301" t="s">
        <v>236</v>
      </c>
      <c r="E51" s="5416"/>
      <c r="F51" s="5416"/>
      <c r="G51" s="5416"/>
      <c r="H51" s="5415"/>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233</v>
      </c>
      <c r="B52" s="1301" t="s">
        <v>234</v>
      </c>
      <c r="C52" s="1301" t="s">
        <v>235</v>
      </c>
      <c r="D52" s="1300"/>
      <c r="E52" s="5416"/>
      <c r="F52" s="5416"/>
      <c r="G52" s="5415"/>
      <c r="H52" s="1300"/>
      <c r="I52" s="1300"/>
      <c r="J52" s="1300"/>
      <c r="K52" s="1300"/>
      <c r="L52" s="1303"/>
      <c r="M52" s="1304"/>
      <c r="N52" s="1304"/>
      <c r="O52" s="287"/>
      <c r="P52" s="1242"/>
      <c r="Q52" s="1243"/>
      <c r="R52" s="1242"/>
      <c r="S52" s="1248"/>
      <c r="T52" s="1251" t="s">
        <v>163</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233</v>
      </c>
      <c r="B53" s="1301" t="s">
        <v>234</v>
      </c>
      <c r="C53" s="1300"/>
      <c r="D53" s="1300"/>
      <c r="E53" s="5416"/>
      <c r="F53" s="5415"/>
      <c r="G53" s="1300"/>
      <c r="H53" s="1300"/>
      <c r="I53" s="1300"/>
      <c r="J53" s="1300"/>
      <c r="K53" s="1300"/>
      <c r="L53" s="1303"/>
      <c r="M53" s="1305"/>
      <c r="N53" s="1305"/>
      <c r="O53" s="287"/>
      <c r="P53" s="1242"/>
      <c r="Q53" s="1243"/>
      <c r="R53" s="1242"/>
      <c r="S53" s="1248"/>
      <c r="T53" s="1251" t="s">
        <v>164</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233</v>
      </c>
      <c r="B54" s="1301"/>
      <c r="C54" s="1301"/>
      <c r="D54" s="1301"/>
      <c r="E54" s="5416"/>
      <c r="F54" s="1301"/>
      <c r="G54" s="1301"/>
      <c r="H54" s="1301"/>
      <c r="I54" s="1301"/>
      <c r="J54" s="1301"/>
      <c r="K54" s="1301"/>
      <c r="L54" s="1307"/>
      <c r="M54" s="1305"/>
      <c r="N54" s="1305"/>
      <c r="O54" s="287"/>
      <c r="P54" s="316"/>
      <c r="Q54" s="1270"/>
      <c r="R54" s="316"/>
      <c r="S54" s="1248"/>
      <c r="T54" s="1251" t="s">
        <v>165</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233</v>
      </c>
      <c r="B55" s="1301"/>
      <c r="C55" s="1301"/>
      <c r="D55" s="1301"/>
      <c r="E55" s="5415"/>
      <c r="F55" s="1301"/>
      <c r="G55" s="1301"/>
      <c r="H55" s="1301"/>
      <c r="I55" s="1301"/>
      <c r="J55" s="1301"/>
      <c r="K55" s="1301"/>
      <c r="L55" s="1307"/>
      <c r="M55" s="1305"/>
      <c r="N55" s="1305"/>
      <c r="O55" s="287"/>
      <c r="P55" s="316"/>
      <c r="Q55" s="1270"/>
      <c r="R55" s="316"/>
      <c r="S55" s="1248"/>
      <c r="T55" s="1251" t="s">
        <v>165</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182</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5379"/>
      <c r="U58" s="5379"/>
      <c r="V58" s="5379"/>
      <c r="W58" s="5379"/>
      <c r="X58" s="5379"/>
      <c r="Y58" s="5379"/>
      <c r="Z58" s="5379"/>
      <c r="AA58" s="5379"/>
      <c r="AB58" s="5379"/>
      <c r="AC58" s="5379"/>
      <c r="AD58" s="5379"/>
      <c r="AE58" s="5379"/>
      <c r="AF58" s="5379"/>
      <c r="AG58" s="5379"/>
      <c r="AH58" s="5379"/>
      <c r="AI58" s="5379"/>
      <c r="AJ58" s="5379"/>
      <c r="AK58" s="5379"/>
      <c r="AQ58" s="1557">
        <v>19</v>
      </c>
    </row>
    <row r="59" spans="1:43" ht="21" customHeight="1">
      <c r="O59" s="1561"/>
      <c r="T59" s="5379"/>
      <c r="U59" s="5379"/>
      <c r="V59" s="5379"/>
      <c r="W59" s="5379"/>
      <c r="X59" s="5379"/>
      <c r="Y59" s="5379"/>
      <c r="Z59" s="5379"/>
      <c r="AA59" s="5379"/>
      <c r="AB59" s="5379"/>
      <c r="AC59" s="5379"/>
      <c r="AD59" s="5379"/>
      <c r="AE59" s="5379"/>
      <c r="AF59" s="5379"/>
      <c r="AG59" s="5379"/>
      <c r="AH59" s="5379"/>
      <c r="AI59" s="5379"/>
      <c r="AJ59" s="5379"/>
      <c r="AK59" s="5379"/>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5379"/>
      <c r="U61" s="5379"/>
      <c r="V61" s="5379"/>
      <c r="W61" s="5379"/>
      <c r="X61" s="5379"/>
      <c r="Y61" s="5379"/>
      <c r="Z61" s="5379"/>
      <c r="AA61" s="5379"/>
      <c r="AB61" s="5379"/>
      <c r="AC61" s="5379"/>
      <c r="AD61" s="5379"/>
      <c r="AE61" s="5379"/>
      <c r="AF61" s="5379"/>
      <c r="AG61" s="5379"/>
      <c r="AH61" s="5379"/>
      <c r="AI61" s="5379"/>
      <c r="AJ61" s="5379"/>
      <c r="AK61" s="5379"/>
      <c r="AQ61" s="1557">
        <v>19</v>
      </c>
    </row>
    <row r="62" spans="1:43" ht="16.899999999999999" customHeight="1">
      <c r="O62" s="1561"/>
      <c r="T62" s="5379"/>
      <c r="U62" s="5379"/>
      <c r="V62" s="5379"/>
      <c r="W62" s="5379"/>
      <c r="X62" s="5379"/>
      <c r="Y62" s="5379"/>
      <c r="Z62" s="5379"/>
      <c r="AA62" s="5379"/>
      <c r="AB62" s="5379"/>
      <c r="AC62" s="5379"/>
      <c r="AD62" s="5379"/>
      <c r="AE62" s="5379"/>
      <c r="AF62" s="5379"/>
      <c r="AG62" s="5379"/>
      <c r="AH62" s="5379"/>
      <c r="AI62" s="5379"/>
      <c r="AJ62" s="5379"/>
      <c r="AK62" s="5379"/>
      <c r="AQ62" s="1557">
        <v>16</v>
      </c>
    </row>
    <row r="63" spans="1:43" ht="14.65" customHeight="1">
      <c r="O63" s="1561"/>
      <c r="AQ63" s="1557">
        <v>14</v>
      </c>
    </row>
    <row r="64" spans="1:43" ht="22.5" hidden="1" customHeight="1">
      <c r="A64" s="1557" t="s">
        <v>84</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5381">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5374"/>
      <c r="W2" s="5374"/>
      <c r="X2" s="5374"/>
      <c r="Y2" s="5374"/>
      <c r="Z2" s="5374"/>
      <c r="AA2" s="5374"/>
      <c r="AB2" s="5374"/>
      <c r="AC2" s="5375"/>
      <c r="AD2" s="5373" t="e">
        <f>INDEX(PT_DIFFERENTIATION_NTAR,MATCH(A2,PT_DIFFERENTIATION_NTAR_ID,0))</f>
        <v>#N/A</v>
      </c>
      <c r="AE2" s="5374"/>
      <c r="AF2" s="5374"/>
      <c r="AG2" s="5374"/>
      <c r="AH2" s="5374"/>
      <c r="AI2" s="5374"/>
      <c r="AJ2" s="5374"/>
      <c r="AK2" s="5374"/>
      <c r="AL2" s="5374"/>
      <c r="AM2" s="5374"/>
      <c r="AN2" s="5374"/>
      <c r="AO2" s="5374"/>
      <c r="AP2" s="5374"/>
      <c r="AQ2" s="5374"/>
      <c r="AR2" s="5374"/>
      <c r="AS2" s="5374"/>
      <c r="AT2" s="5374"/>
      <c r="AU2" s="5374"/>
      <c r="AV2" s="5374"/>
      <c r="AW2" s="5374"/>
      <c r="AX2" s="5374"/>
      <c r="AY2" s="5374"/>
      <c r="AZ2" s="5374"/>
      <c r="BA2" s="5374"/>
      <c r="BB2" s="537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5382"/>
      <c r="F3" s="5381">
        <v>1</v>
      </c>
      <c r="G3" s="1289"/>
      <c r="H3" s="1289"/>
      <c r="I3" s="1289"/>
      <c r="J3" s="1289"/>
      <c r="K3" s="1289"/>
      <c r="L3" s="1290"/>
      <c r="M3" s="1291"/>
      <c r="N3" s="1291"/>
      <c r="O3" s="1291"/>
      <c r="P3" s="1336"/>
      <c r="Q3" s="1337"/>
      <c r="R3" s="289"/>
      <c r="S3" s="1391" t="e">
        <f>INDEX(PT_DIFFERENTIATION_NUM_TER,MATCH(B3,PT_DIFFERENTIATION_TER_ID,0))</f>
        <v>#N/A</v>
      </c>
      <c r="T3" s="245" t="s">
        <v>424</v>
      </c>
      <c r="U3" s="237"/>
      <c r="V3" s="5374"/>
      <c r="W3" s="5374"/>
      <c r="X3" s="5374"/>
      <c r="Y3" s="5374"/>
      <c r="Z3" s="5374"/>
      <c r="AA3" s="5374"/>
      <c r="AB3" s="5374"/>
      <c r="AC3" s="5375"/>
      <c r="AD3" s="5373" t="e">
        <f>INDEX(PT_DIFFERENTIATION_TER,MATCH(B3,PT_DIFFERENTIATION_TER_ID,0))</f>
        <v>#N/A</v>
      </c>
      <c r="AE3" s="5374"/>
      <c r="AF3" s="5374"/>
      <c r="AG3" s="5374"/>
      <c r="AH3" s="5374"/>
      <c r="AI3" s="5374"/>
      <c r="AJ3" s="5374"/>
      <c r="AK3" s="5374"/>
      <c r="AL3" s="5374"/>
      <c r="AM3" s="5374"/>
      <c r="AN3" s="5374"/>
      <c r="AO3" s="5374"/>
      <c r="AP3" s="5374"/>
      <c r="AQ3" s="5374"/>
      <c r="AR3" s="5374"/>
      <c r="AS3" s="5374"/>
      <c r="AT3" s="5374"/>
      <c r="AU3" s="5374"/>
      <c r="AV3" s="5374"/>
      <c r="AW3" s="5374"/>
      <c r="AX3" s="5374"/>
      <c r="AY3" s="5374"/>
      <c r="AZ3" s="5374"/>
      <c r="BA3" s="5374"/>
      <c r="BB3" s="5375"/>
      <c r="BC3" s="1184" t="s">
        <v>425</v>
      </c>
      <c r="BE3" s="436"/>
      <c r="BF3" s="436" t="str">
        <f t="shared" si="0"/>
        <v>Территория действия тарифа</v>
      </c>
      <c r="BG3" s="436"/>
      <c r="BH3" s="436"/>
      <c r="BI3" s="1081">
        <v>0</v>
      </c>
    </row>
    <row r="4" spans="1:61" ht="42" hidden="1" customHeight="1">
      <c r="A4" s="1289"/>
      <c r="B4" s="1289"/>
      <c r="C4" s="1289"/>
      <c r="D4" s="1289"/>
      <c r="E4" s="5382"/>
      <c r="F4" s="5382"/>
      <c r="G4" s="5381">
        <v>1</v>
      </c>
      <c r="H4" s="1289"/>
      <c r="I4" s="1289"/>
      <c r="J4" s="1289"/>
      <c r="K4" s="1289"/>
      <c r="L4" s="1290"/>
      <c r="M4" s="1291"/>
      <c r="N4" s="1291"/>
      <c r="O4" s="1291"/>
      <c r="P4" s="1338"/>
      <c r="Q4" s="1337"/>
      <c r="R4" s="289"/>
      <c r="S4" s="1391" t="e">
        <f>INDEX(PT_DIFFERENTIATION_NUM_CS,MATCH(C4,PT_DIFFERENTIATION_CS_ID,0))</f>
        <v>#N/A</v>
      </c>
      <c r="T4" s="246" t="s">
        <v>513</v>
      </c>
      <c r="U4" s="237"/>
      <c r="V4" s="5374"/>
      <c r="W4" s="5374"/>
      <c r="X4" s="5374"/>
      <c r="Y4" s="5374"/>
      <c r="Z4" s="5374"/>
      <c r="AA4" s="5374"/>
      <c r="AB4" s="5374"/>
      <c r="AC4" s="5375"/>
      <c r="AD4" s="5373" t="e">
        <f>INDEX(PT_DIFFERENTIATION_CS,MATCH(C4,PT_DIFFERENTIATION_CS_ID,0))</f>
        <v>#N/A</v>
      </c>
      <c r="AE4" s="5374"/>
      <c r="AF4" s="5374"/>
      <c r="AG4" s="5374"/>
      <c r="AH4" s="5374"/>
      <c r="AI4" s="5374"/>
      <c r="AJ4" s="5374"/>
      <c r="AK4" s="5374"/>
      <c r="AL4" s="5374"/>
      <c r="AM4" s="5374"/>
      <c r="AN4" s="5374"/>
      <c r="AO4" s="5374"/>
      <c r="AP4" s="5374"/>
      <c r="AQ4" s="5374"/>
      <c r="AR4" s="5374"/>
      <c r="AS4" s="5374"/>
      <c r="AT4" s="5374"/>
      <c r="AU4" s="5374"/>
      <c r="AV4" s="5374"/>
      <c r="AW4" s="5374"/>
      <c r="AX4" s="5374"/>
      <c r="AY4" s="5374"/>
      <c r="AZ4" s="5374"/>
      <c r="BA4" s="5374"/>
      <c r="BB4" s="5375"/>
      <c r="BC4" s="1184" t="s">
        <v>514</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5382"/>
      <c r="F5" s="5382"/>
      <c r="G5" s="5382"/>
      <c r="H5" s="5381">
        <v>1</v>
      </c>
      <c r="I5" s="1269"/>
      <c r="J5" s="1269"/>
      <c r="K5" s="1269"/>
      <c r="L5" s="1272"/>
      <c r="M5" s="1241"/>
      <c r="N5" s="1241"/>
      <c r="O5" s="1241"/>
      <c r="P5" s="1423"/>
      <c r="Q5" s="1424"/>
      <c r="R5" s="293"/>
      <c r="S5" s="971"/>
      <c r="T5" s="1425"/>
      <c r="U5" s="1310"/>
      <c r="V5" s="5421"/>
      <c r="W5" s="5421"/>
      <c r="X5" s="5421"/>
      <c r="Y5" s="5421"/>
      <c r="Z5" s="5421"/>
      <c r="AA5" s="5421"/>
      <c r="AB5" s="5421"/>
      <c r="AC5" s="5422"/>
      <c r="AD5" s="5420"/>
      <c r="AE5" s="5421"/>
      <c r="AF5" s="5421"/>
      <c r="AG5" s="5421"/>
      <c r="AH5" s="5421"/>
      <c r="AI5" s="5421"/>
      <c r="AJ5" s="5421"/>
      <c r="AK5" s="5421"/>
      <c r="AL5" s="5421"/>
      <c r="AM5" s="5421"/>
      <c r="AN5" s="5421"/>
      <c r="AO5" s="5421"/>
      <c r="AP5" s="5421"/>
      <c r="AQ5" s="5421"/>
      <c r="AR5" s="5421"/>
      <c r="AS5" s="5421"/>
      <c r="AT5" s="5421"/>
      <c r="AU5" s="5421"/>
      <c r="AV5" s="5421"/>
      <c r="AW5" s="5421"/>
      <c r="AX5" s="5421"/>
      <c r="AY5" s="5421"/>
      <c r="AZ5" s="5421"/>
      <c r="BA5" s="5421"/>
      <c r="BB5" s="5422"/>
      <c r="BC5" s="1311" t="s">
        <v>429</v>
      </c>
      <c r="BE5" s="436"/>
      <c r="BF5" s="436" t="str">
        <f t="shared" si="0"/>
        <v/>
      </c>
      <c r="BG5" s="436"/>
      <c r="BH5" s="436"/>
      <c r="BI5" s="447">
        <v>0</v>
      </c>
    </row>
    <row r="6" spans="1:61" s="1568" customFormat="1" ht="14.25" hidden="1" customHeight="1">
      <c r="A6" s="1269"/>
      <c r="B6" s="1269"/>
      <c r="C6" s="1269"/>
      <c r="D6" s="1269"/>
      <c r="E6" s="5382"/>
      <c r="F6" s="5382"/>
      <c r="G6" s="5382"/>
      <c r="H6" s="5382"/>
      <c r="I6" s="5383" t="str">
        <f>S5&amp;".1"</f>
        <v>.1</v>
      </c>
      <c r="J6" s="1269"/>
      <c r="K6" s="1269"/>
      <c r="L6" s="1272" t="s">
        <v>430</v>
      </c>
      <c r="M6" s="446"/>
      <c r="N6" s="446"/>
      <c r="O6" s="446"/>
      <c r="P6" s="5385">
        <v>1</v>
      </c>
      <c r="Q6" s="1388"/>
      <c r="R6" s="292"/>
      <c r="S6" s="971"/>
      <c r="T6" s="1309"/>
      <c r="U6" s="1310"/>
      <c r="V6" s="5421"/>
      <c r="W6" s="5421"/>
      <c r="X6" s="5421"/>
      <c r="Y6" s="5421"/>
      <c r="Z6" s="5421"/>
      <c r="AA6" s="5421"/>
      <c r="AB6" s="5421"/>
      <c r="AC6" s="5422"/>
      <c r="AD6" s="5420"/>
      <c r="AE6" s="5421"/>
      <c r="AF6" s="5421"/>
      <c r="AG6" s="5421"/>
      <c r="AH6" s="5421"/>
      <c r="AI6" s="5421"/>
      <c r="AJ6" s="5421"/>
      <c r="AK6" s="5421"/>
      <c r="AL6" s="5421"/>
      <c r="AM6" s="5421"/>
      <c r="AN6" s="5421"/>
      <c r="AO6" s="5421"/>
      <c r="AP6" s="5421"/>
      <c r="AQ6" s="5421"/>
      <c r="AR6" s="5421"/>
      <c r="AS6" s="5421"/>
      <c r="AT6" s="5421"/>
      <c r="AU6" s="5421"/>
      <c r="AV6" s="5421"/>
      <c r="AW6" s="5421"/>
      <c r="AX6" s="5421"/>
      <c r="AY6" s="5421"/>
      <c r="AZ6" s="5421"/>
      <c r="BA6" s="5421"/>
      <c r="BB6" s="5422"/>
      <c r="BC6" s="1311"/>
      <c r="BE6" s="436"/>
      <c r="BF6" s="436" t="str">
        <f t="shared" si="0"/>
        <v/>
      </c>
      <c r="BG6" s="436"/>
      <c r="BH6" s="436"/>
      <c r="BI6" s="447">
        <v>0</v>
      </c>
    </row>
    <row r="7" spans="1:61" s="1568" customFormat="1" ht="14.25" hidden="1" customHeight="1">
      <c r="A7" s="1269"/>
      <c r="B7" s="1269"/>
      <c r="C7" s="1269"/>
      <c r="D7" s="1269"/>
      <c r="E7" s="5382"/>
      <c r="F7" s="5382"/>
      <c r="G7" s="5382"/>
      <c r="H7" s="5382"/>
      <c r="I7" s="5384"/>
      <c r="J7" s="5383" t="str">
        <f>S5&amp;".1"</f>
        <v>.1</v>
      </c>
      <c r="K7" s="1269"/>
      <c r="L7" s="1272"/>
      <c r="M7" s="446"/>
      <c r="N7" s="446"/>
      <c r="O7" s="446"/>
      <c r="P7" s="5385"/>
      <c r="Q7" s="5385">
        <v>1</v>
      </c>
      <c r="R7" s="293"/>
      <c r="S7" s="971"/>
      <c r="T7" s="1325"/>
      <c r="U7" s="1310"/>
      <c r="V7" s="5421"/>
      <c r="W7" s="5421"/>
      <c r="X7" s="5421"/>
      <c r="Y7" s="5421"/>
      <c r="Z7" s="5421"/>
      <c r="AA7" s="5421"/>
      <c r="AB7" s="5421"/>
      <c r="AC7" s="5422"/>
      <c r="AD7" s="5420"/>
      <c r="AE7" s="5421"/>
      <c r="AF7" s="5421"/>
      <c r="AG7" s="5421"/>
      <c r="AH7" s="5421"/>
      <c r="AI7" s="5421"/>
      <c r="AJ7" s="5421"/>
      <c r="AK7" s="5421"/>
      <c r="AL7" s="5421"/>
      <c r="AM7" s="5421"/>
      <c r="AN7" s="5421"/>
      <c r="AO7" s="5421"/>
      <c r="AP7" s="5421"/>
      <c r="AQ7" s="5421"/>
      <c r="AR7" s="5421"/>
      <c r="AS7" s="5421"/>
      <c r="AT7" s="5421"/>
      <c r="AU7" s="5421"/>
      <c r="AV7" s="5421"/>
      <c r="AW7" s="5421"/>
      <c r="AX7" s="5421"/>
      <c r="AY7" s="5421"/>
      <c r="AZ7" s="5421"/>
      <c r="BA7" s="5421"/>
      <c r="BB7" s="5422"/>
      <c r="BC7" s="1311"/>
      <c r="BE7" s="436"/>
      <c r="BF7" s="436" t="str">
        <f t="shared" si="0"/>
        <v/>
      </c>
      <c r="BG7" s="436"/>
      <c r="BH7" s="436"/>
      <c r="BI7" s="447">
        <v>0</v>
      </c>
    </row>
    <row r="8" spans="1:61" ht="11.25" hidden="1" customHeight="1">
      <c r="A8" s="1289"/>
      <c r="B8" s="1289"/>
      <c r="C8" s="1289"/>
      <c r="D8" s="1289"/>
      <c r="E8" s="5382"/>
      <c r="F8" s="5382"/>
      <c r="G8" s="5382"/>
      <c r="H8" s="5382"/>
      <c r="I8" s="5384"/>
      <c r="J8" s="5384"/>
      <c r="K8" s="5383" t="e">
        <f>S4&amp;".1"</f>
        <v>#N/A</v>
      </c>
      <c r="L8" s="1290"/>
      <c r="P8" s="5385"/>
      <c r="Q8" s="5385"/>
      <c r="R8" s="5451">
        <v>1</v>
      </c>
      <c r="S8" s="5448" t="e">
        <f>$K8</f>
        <v>#N/A</v>
      </c>
      <c r="T8" s="5468"/>
      <c r="U8" s="237"/>
      <c r="V8" s="687"/>
      <c r="W8" s="1183"/>
      <c r="X8" s="687"/>
      <c r="Y8" s="1183"/>
      <c r="Z8" s="1659"/>
      <c r="AA8" s="1385" t="s">
        <v>65</v>
      </c>
      <c r="AB8" s="1659"/>
      <c r="AC8" s="1385" t="s">
        <v>65</v>
      </c>
      <c r="AD8" s="5303" t="s">
        <v>65</v>
      </c>
      <c r="AE8" s="5444"/>
      <c r="AF8" s="5335">
        <v>1</v>
      </c>
      <c r="AG8" s="5467"/>
      <c r="AH8" s="5245" t="s">
        <v>65</v>
      </c>
      <c r="AI8" s="5444"/>
      <c r="AJ8" s="5335">
        <v>1</v>
      </c>
      <c r="AK8" s="5458" t="s">
        <v>28</v>
      </c>
      <c r="AL8" s="5245" t="s">
        <v>65</v>
      </c>
      <c r="AM8" s="5312"/>
      <c r="AN8" s="5335">
        <v>1</v>
      </c>
      <c r="AO8" s="5471"/>
      <c r="AP8" s="5472" t="s">
        <v>65</v>
      </c>
      <c r="AQ8" s="248"/>
      <c r="AR8" s="1389">
        <v>1</v>
      </c>
      <c r="AS8" s="1392" t="s">
        <v>28</v>
      </c>
      <c r="AT8" s="687"/>
      <c r="AU8" s="1183"/>
      <c r="AV8" s="687"/>
      <c r="AW8" s="1183"/>
      <c r="AX8" s="1659"/>
      <c r="AY8" s="1385" t="s">
        <v>65</v>
      </c>
      <c r="AZ8" s="1659"/>
      <c r="BA8" s="1385" t="s">
        <v>65</v>
      </c>
      <c r="BB8" s="1274"/>
      <c r="BC8" s="5405" t="s">
        <v>533</v>
      </c>
      <c r="BE8" s="436"/>
      <c r="BF8" s="436" t="str">
        <f t="shared" si="0"/>
        <v/>
      </c>
      <c r="BG8" s="436"/>
      <c r="BH8" s="436"/>
      <c r="BI8" s="1081">
        <v>0</v>
      </c>
    </row>
    <row r="9" spans="1:61" ht="11.25" hidden="1" customHeight="1">
      <c r="A9" s="1289"/>
      <c r="B9" s="1289"/>
      <c r="C9" s="1289"/>
      <c r="D9" s="1289"/>
      <c r="E9" s="5382"/>
      <c r="F9" s="5382"/>
      <c r="G9" s="5382"/>
      <c r="H9" s="5382"/>
      <c r="I9" s="5384"/>
      <c r="J9" s="5384"/>
      <c r="K9" s="5383"/>
      <c r="L9" s="1290"/>
      <c r="P9" s="5385"/>
      <c r="Q9" s="5385"/>
      <c r="R9" s="5451"/>
      <c r="S9" s="5449"/>
      <c r="T9" s="5469"/>
      <c r="U9" s="237"/>
      <c r="V9" s="1319"/>
      <c r="W9" s="1422"/>
      <c r="X9" s="1319"/>
      <c r="Y9" s="1422"/>
      <c r="Z9" s="1319"/>
      <c r="AA9" s="1319"/>
      <c r="AB9" s="1319"/>
      <c r="AC9" s="1319"/>
      <c r="AD9" s="5304"/>
      <c r="AE9" s="5444"/>
      <c r="AF9" s="5335"/>
      <c r="AG9" s="5467"/>
      <c r="AH9" s="5245"/>
      <c r="AI9" s="5444"/>
      <c r="AJ9" s="5335"/>
      <c r="AK9" s="5458"/>
      <c r="AL9" s="5245"/>
      <c r="AM9" s="5317"/>
      <c r="AN9" s="5335"/>
      <c r="AO9" s="5471"/>
      <c r="AP9" s="5473"/>
      <c r="AQ9" s="253"/>
      <c r="AR9" s="352"/>
      <c r="AS9" s="352" t="s">
        <v>534</v>
      </c>
      <c r="AT9" s="1319"/>
      <c r="AU9" s="1422"/>
      <c r="AV9" s="1319"/>
      <c r="AW9" s="1422"/>
      <c r="AX9" s="1319"/>
      <c r="AY9" s="1319"/>
      <c r="AZ9" s="1319"/>
      <c r="BA9" s="1319"/>
      <c r="BB9" s="1323"/>
      <c r="BC9" s="5406"/>
      <c r="BE9" s="436"/>
      <c r="BF9" s="436"/>
      <c r="BG9" s="436"/>
      <c r="BH9" s="436"/>
      <c r="BI9" s="1081">
        <v>0</v>
      </c>
    </row>
    <row r="10" spans="1:61" ht="11.25" hidden="1" customHeight="1">
      <c r="A10" s="1289"/>
      <c r="B10" s="1289"/>
      <c r="C10" s="1289"/>
      <c r="D10" s="1289"/>
      <c r="E10" s="5382"/>
      <c r="F10" s="5382"/>
      <c r="G10" s="5382"/>
      <c r="H10" s="5382"/>
      <c r="I10" s="5384"/>
      <c r="J10" s="5384"/>
      <c r="K10" s="5383"/>
      <c r="L10" s="1290"/>
      <c r="P10" s="5385"/>
      <c r="Q10" s="5385"/>
      <c r="R10" s="5451"/>
      <c r="S10" s="5449"/>
      <c r="T10" s="5469"/>
      <c r="U10" s="237"/>
      <c r="V10" s="1319"/>
      <c r="W10" s="1422"/>
      <c r="X10" s="1319"/>
      <c r="Y10" s="1422"/>
      <c r="Z10" s="1319"/>
      <c r="AA10" s="1319"/>
      <c r="AB10" s="1319"/>
      <c r="AC10" s="1319"/>
      <c r="AD10" s="5304"/>
      <c r="AE10" s="5444"/>
      <c r="AF10" s="5335"/>
      <c r="AG10" s="5467"/>
      <c r="AH10" s="5245"/>
      <c r="AI10" s="5444"/>
      <c r="AJ10" s="5335"/>
      <c r="AK10" s="5458"/>
      <c r="AL10" s="5245"/>
      <c r="AM10" s="253"/>
      <c r="AN10" s="1426"/>
      <c r="AO10" s="1426" t="s">
        <v>535</v>
      </c>
      <c r="AP10" s="352"/>
      <c r="AQ10" s="352"/>
      <c r="AR10" s="352"/>
      <c r="AS10" s="1319"/>
      <c r="AT10" s="1319"/>
      <c r="AU10" s="1422"/>
      <c r="AV10" s="1319"/>
      <c r="AW10" s="1422"/>
      <c r="AX10" s="1319"/>
      <c r="AY10" s="1319"/>
      <c r="AZ10" s="1319"/>
      <c r="BA10" s="1319"/>
      <c r="BB10" s="1323"/>
      <c r="BC10" s="5406"/>
      <c r="BE10" s="436"/>
      <c r="BF10" s="436"/>
      <c r="BG10" s="436"/>
      <c r="BH10" s="436"/>
      <c r="BI10" s="1081">
        <v>0</v>
      </c>
    </row>
    <row r="11" spans="1:61" ht="11.25" hidden="1" customHeight="1">
      <c r="A11" s="1289"/>
      <c r="B11" s="1289"/>
      <c r="C11" s="1289"/>
      <c r="D11" s="1289"/>
      <c r="E11" s="5382"/>
      <c r="F11" s="5382"/>
      <c r="G11" s="5382"/>
      <c r="H11" s="5382"/>
      <c r="I11" s="5384"/>
      <c r="J11" s="5384"/>
      <c r="K11" s="5383"/>
      <c r="L11" s="1290"/>
      <c r="P11" s="5385"/>
      <c r="Q11" s="5385"/>
      <c r="R11" s="5451"/>
      <c r="S11" s="5449"/>
      <c r="T11" s="5469"/>
      <c r="U11" s="237"/>
      <c r="V11" s="1319"/>
      <c r="W11" s="1422"/>
      <c r="X11" s="1319"/>
      <c r="Y11" s="1422"/>
      <c r="Z11" s="1319"/>
      <c r="AA11" s="1319"/>
      <c r="AB11" s="1319"/>
      <c r="AC11" s="1319"/>
      <c r="AD11" s="5304"/>
      <c r="AE11" s="5444"/>
      <c r="AF11" s="5335"/>
      <c r="AG11" s="5467"/>
      <c r="AH11" s="5245"/>
      <c r="AI11" s="231"/>
      <c r="AJ11" s="351"/>
      <c r="AK11" s="250" t="s">
        <v>536</v>
      </c>
      <c r="AL11" s="1319"/>
      <c r="AM11" s="1319"/>
      <c r="AN11" s="1319"/>
      <c r="AO11" s="1319"/>
      <c r="AP11" s="1319"/>
      <c r="AQ11" s="1319"/>
      <c r="AR11" s="1319"/>
      <c r="AS11" s="1319"/>
      <c r="AT11" s="1319"/>
      <c r="AU11" s="1422"/>
      <c r="AV11" s="1319"/>
      <c r="AW11" s="1422"/>
      <c r="AX11" s="1319"/>
      <c r="AY11" s="1319"/>
      <c r="AZ11" s="1319"/>
      <c r="BA11" s="1319"/>
      <c r="BB11" s="1323"/>
      <c r="BC11" s="5406"/>
      <c r="BE11" s="436"/>
      <c r="BF11" s="436"/>
      <c r="BG11" s="436"/>
      <c r="BH11" s="436"/>
      <c r="BI11" s="1081">
        <v>0</v>
      </c>
    </row>
    <row r="12" spans="1:61" ht="11.25" hidden="1" customHeight="1">
      <c r="A12" s="1289"/>
      <c r="B12" s="1289"/>
      <c r="C12" s="1289"/>
      <c r="D12" s="1289"/>
      <c r="E12" s="5382"/>
      <c r="F12" s="5382"/>
      <c r="G12" s="5382"/>
      <c r="H12" s="5382"/>
      <c r="I12" s="5384"/>
      <c r="J12" s="5384"/>
      <c r="K12" s="5383"/>
      <c r="L12" s="1290"/>
      <c r="P12" s="5385"/>
      <c r="Q12" s="5385"/>
      <c r="R12" s="5451"/>
      <c r="S12" s="5450"/>
      <c r="T12" s="5470"/>
      <c r="U12" s="237"/>
      <c r="V12" s="1319"/>
      <c r="W12" s="1320" t="str">
        <f>Z8&amp;"-"&amp;AB8</f>
        <v>-</v>
      </c>
      <c r="X12" s="1319"/>
      <c r="Y12" s="1320" t="str">
        <f>AB8&amp;"-"&amp;AD8</f>
        <v>-да</v>
      </c>
      <c r="Z12" s="1319"/>
      <c r="AA12" s="1319"/>
      <c r="AB12" s="1319"/>
      <c r="AC12" s="1319"/>
      <c r="AD12" s="5250"/>
      <c r="AE12" s="249"/>
      <c r="AF12" s="251"/>
      <c r="AG12" s="352" t="s">
        <v>537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5406"/>
      <c r="BE12" s="436"/>
      <c r="BF12" s="436" t="str">
        <f t="shared" ref="BF12:BF18" si="1">IF(T12="","",T12)</f>
        <v/>
      </c>
      <c r="BG12" s="436"/>
      <c r="BH12" s="436"/>
      <c r="BI12" s="1081">
        <v>0</v>
      </c>
    </row>
    <row r="13" spans="1:61" ht="11.25" hidden="1" customHeight="1">
      <c r="A13" s="1289"/>
      <c r="B13" s="1289"/>
      <c r="C13" s="1289"/>
      <c r="D13" s="1289"/>
      <c r="E13" s="5382"/>
      <c r="F13" s="5382"/>
      <c r="G13" s="5382"/>
      <c r="H13" s="5382"/>
      <c r="I13" s="5384"/>
      <c r="J13" s="5383"/>
      <c r="K13" s="1289"/>
      <c r="L13" s="1290"/>
      <c r="P13" s="5385"/>
      <c r="Q13" s="5385"/>
      <c r="R13" s="292"/>
      <c r="S13" s="1204"/>
      <c r="T13" s="224" t="s">
        <v>500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5407"/>
      <c r="BE13" s="436"/>
      <c r="BF13" s="436" t="str">
        <f t="shared" si="1"/>
        <v>Добавить строку</v>
      </c>
      <c r="BG13" s="436"/>
      <c r="BH13" s="436"/>
      <c r="BI13" s="1081">
        <v>0</v>
      </c>
    </row>
    <row r="14" spans="1:61" s="1568" customFormat="1" ht="14.25" hidden="1" customHeight="1">
      <c r="A14" s="1269"/>
      <c r="B14" s="1269"/>
      <c r="C14" s="1269"/>
      <c r="D14" s="1269"/>
      <c r="E14" s="5382"/>
      <c r="F14" s="5382"/>
      <c r="G14" s="5382"/>
      <c r="H14" s="5382"/>
      <c r="I14" s="5383"/>
      <c r="J14" s="1269"/>
      <c r="K14" s="1269"/>
      <c r="L14" s="1272"/>
      <c r="M14" s="446"/>
      <c r="N14" s="446"/>
      <c r="O14" s="446"/>
      <c r="P14" s="5385"/>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5382"/>
      <c r="F15" s="5382"/>
      <c r="G15" s="5382"/>
      <c r="H15" s="538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5382"/>
      <c r="F16" s="5382"/>
      <c r="G16" s="5381"/>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5382"/>
      <c r="F17" s="5381"/>
      <c r="G17" s="1240"/>
      <c r="H17" s="1240"/>
      <c r="I17" s="1240"/>
      <c r="J17" s="1240"/>
      <c r="K17" s="1240"/>
      <c r="L17" s="1390"/>
      <c r="M17" s="1247"/>
      <c r="N17" s="1247"/>
      <c r="P17" s="1242"/>
      <c r="Q17" s="1243"/>
      <c r="R17" s="1242"/>
      <c r="S17" s="1248"/>
      <c r="T17" s="1251" t="s">
        <v>164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5381"/>
      <c r="F18" s="1269"/>
      <c r="G18" s="1269"/>
      <c r="H18" s="1269"/>
      <c r="I18" s="1269"/>
      <c r="J18" s="1269"/>
      <c r="K18" s="1269"/>
      <c r="L18" s="1272"/>
      <c r="M18" s="1247"/>
      <c r="N18" s="1247"/>
      <c r="O18" s="454"/>
      <c r="P18" s="316"/>
      <c r="Q18" s="1270"/>
      <c r="R18" s="316"/>
      <c r="S18" s="1248"/>
      <c r="T18" s="1251" t="s">
        <v>165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65</v>
      </c>
      <c r="AZ20" s="1661"/>
      <c r="BA20" s="1386" t="s">
        <v>65</v>
      </c>
      <c r="BI20" s="1081">
        <v>0</v>
      </c>
    </row>
    <row r="21" spans="1:61" ht="14.25" hidden="1" customHeight="1">
      <c r="BD21" s="432"/>
      <c r="BE21" s="432"/>
      <c r="BF21" s="432"/>
      <c r="BG21" s="432"/>
      <c r="BH21" s="432"/>
      <c r="BI21" s="1081">
        <v>0</v>
      </c>
    </row>
    <row r="22" spans="1:61" ht="14.25" hidden="1" customHeight="1">
      <c r="O22" s="1293" t="s">
        <v>441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442</v>
      </c>
      <c r="P24" s="1434"/>
      <c r="Q24" s="1436"/>
      <c r="R24" s="1436"/>
      <c r="AA24" s="1433" t="s">
        <v>444</v>
      </c>
      <c r="AC24" s="1433" t="s">
        <v>445</v>
      </c>
      <c r="AD24" s="1433" t="s">
        <v>501</v>
      </c>
      <c r="AH24" s="1433" t="s">
        <v>501</v>
      </c>
      <c r="AK24" s="1433" t="s">
        <v>538</v>
      </c>
      <c r="AL24" s="1433" t="s">
        <v>501</v>
      </c>
      <c r="AP24" s="1433" t="s">
        <v>501</v>
      </c>
      <c r="AY24" s="1433" t="s">
        <v>444</v>
      </c>
      <c r="BA24" s="1433" t="s">
        <v>445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5359"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5359"/>
      <c r="U28" s="5359"/>
      <c r="V28" s="5359"/>
      <c r="W28" s="5359"/>
      <c r="X28" s="5359"/>
      <c r="Y28" s="5359"/>
      <c r="Z28" s="5359"/>
      <c r="AA28" s="5359"/>
      <c r="AB28" s="5359"/>
      <c r="AC28" s="5359"/>
      <c r="AD28" s="5359"/>
      <c r="AE28" s="5359"/>
      <c r="AF28" s="5359"/>
      <c r="AG28" s="5359"/>
      <c r="AH28" s="5359"/>
      <c r="AI28" s="5359"/>
      <c r="AJ28" s="5359"/>
      <c r="AK28" s="5359"/>
      <c r="AL28" s="5359"/>
      <c r="AM28" s="5359"/>
      <c r="AN28" s="5359"/>
      <c r="AO28" s="5359"/>
      <c r="AP28" s="5359"/>
      <c r="AQ28" s="5359"/>
      <c r="AR28" s="5359"/>
      <c r="AS28" s="5359"/>
      <c r="AT28" s="5359"/>
      <c r="AU28" s="5359"/>
      <c r="AV28" s="5359"/>
      <c r="AW28" s="5359"/>
      <c r="AX28" s="5359"/>
      <c r="AY28" s="5359"/>
      <c r="AZ28" s="5359"/>
      <c r="BA28" s="1169"/>
      <c r="BI28" s="1081">
        <v>14</v>
      </c>
    </row>
    <row r="29" spans="1:61" ht="14.65" customHeight="1">
      <c r="Q29" s="228"/>
      <c r="R29" s="312"/>
      <c r="S29" s="5331" t="str">
        <f>IF(org=0,"Не определено",org)</f>
        <v>ПАО "ТГК-1" филиал "Невский"</v>
      </c>
      <c r="T29" s="5331"/>
      <c r="U29" s="5331"/>
      <c r="V29" s="5331"/>
      <c r="W29" s="5331"/>
      <c r="X29" s="5331"/>
      <c r="Y29" s="5331"/>
      <c r="Z29" s="5331"/>
      <c r="AA29" s="5331"/>
      <c r="AB29" s="5331"/>
      <c r="AC29" s="5331"/>
      <c r="AD29" s="5331"/>
      <c r="AE29" s="5331"/>
      <c r="AF29" s="5331"/>
      <c r="AG29" s="5331"/>
      <c r="AH29" s="5331"/>
      <c r="AI29" s="5331"/>
      <c r="AJ29" s="5331"/>
      <c r="AK29" s="5331"/>
      <c r="AL29" s="5331"/>
      <c r="AM29" s="5331"/>
      <c r="AN29" s="5331"/>
      <c r="AO29" s="5331"/>
      <c r="AP29" s="5331"/>
      <c r="AQ29" s="5331"/>
      <c r="AR29" s="5331"/>
      <c r="AS29" s="5331"/>
      <c r="AT29" s="5331"/>
      <c r="AU29" s="5331"/>
      <c r="AV29" s="5331"/>
      <c r="AW29" s="5331"/>
      <c r="AX29" s="5331"/>
      <c r="AY29" s="5331"/>
      <c r="AZ29" s="5331"/>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5370" t="s">
        <v>42</v>
      </c>
      <c r="T31" s="5370"/>
      <c r="U31" s="1298"/>
      <c r="V31" s="5372" t="str">
        <f>IF(TITLE_NAME_OR_PR_CHANGE="",IF(TITLE_NAME_OR_PR="","",TITLE_NAME_OR_PR),TITLE_NAME_OR_PR_CHANGE)</f>
        <v>Комитет по тарифам Санкт-Петербурга</v>
      </c>
      <c r="W31" s="5372"/>
      <c r="X31" s="5372"/>
      <c r="Y31" s="5372"/>
      <c r="Z31" s="5372"/>
      <c r="AA31" s="5372"/>
      <c r="AB31" s="5372"/>
      <c r="AC31" s="263"/>
      <c r="AD31" s="5372" t="str">
        <f>IF(TITLE_NAME_OR_PR_CHANGE="",IF(TITLE_NAME_OR_PR="","",TITLE_NAME_OR_PR),TITLE_NAME_OR_PR_CHANGE)</f>
        <v>Комитет по тарифам Санкт-Петербурга</v>
      </c>
      <c r="AE31" s="5372"/>
      <c r="AF31" s="5372"/>
      <c r="AG31" s="5372"/>
      <c r="AH31" s="5372"/>
      <c r="AI31" s="5372"/>
      <c r="AJ31" s="5372"/>
      <c r="AK31" s="5372"/>
      <c r="AL31" s="5372"/>
      <c r="AM31" s="5372"/>
      <c r="AN31" s="5372"/>
      <c r="AO31" s="5372"/>
      <c r="AP31" s="5372"/>
      <c r="AQ31" s="5372"/>
      <c r="AR31" s="5372"/>
      <c r="AS31" s="5372"/>
      <c r="AT31" s="5372"/>
      <c r="AU31" s="5372"/>
      <c r="AV31" s="5372"/>
      <c r="AW31" s="5372"/>
      <c r="AX31" s="5372"/>
      <c r="AY31" s="5372"/>
      <c r="AZ31" s="5372"/>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5370" t="s">
        <v>447</v>
      </c>
      <c r="T32" s="5370"/>
      <c r="U32" s="1298"/>
      <c r="V32" s="5371">
        <f>IF(TITLE_DATE_PR_CHANGE="",IF(TITLE_DATE_PR="","",TITLE_DATE_PR),TITLE_DATE_PR_CHANGE)</f>
        <v>45470</v>
      </c>
      <c r="W32" s="5371"/>
      <c r="X32" s="5371"/>
      <c r="Y32" s="5371"/>
      <c r="Z32" s="5371"/>
      <c r="AA32" s="5371"/>
      <c r="AB32" s="5371"/>
      <c r="AC32" s="263"/>
      <c r="AD32" s="5371">
        <f>IF(TITLE_DATE_PR_CHANGE="",IF(TITLE_DATE_PR="","",TITLE_DATE_PR),TITLE_DATE_PR_CHANGE)</f>
        <v>45470</v>
      </c>
      <c r="AE32" s="5371"/>
      <c r="AF32" s="5371"/>
      <c r="AG32" s="5371"/>
      <c r="AH32" s="5371"/>
      <c r="AI32" s="5371"/>
      <c r="AJ32" s="5371"/>
      <c r="AK32" s="5371"/>
      <c r="AL32" s="5371"/>
      <c r="AM32" s="5371"/>
      <c r="AN32" s="5371"/>
      <c r="AO32" s="5371"/>
      <c r="AP32" s="5371"/>
      <c r="AQ32" s="5371"/>
      <c r="AR32" s="5371"/>
      <c r="AS32" s="5371"/>
      <c r="AT32" s="5371"/>
      <c r="AU32" s="5371"/>
      <c r="AV32" s="5371"/>
      <c r="AW32" s="5371"/>
      <c r="AX32" s="5371"/>
      <c r="AY32" s="5371"/>
      <c r="AZ32" s="5371"/>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5370" t="s">
        <v>448</v>
      </c>
      <c r="T33" s="5370"/>
      <c r="U33" s="1298"/>
      <c r="V33" s="5372" t="str">
        <f>IF(TITLE_NUMBER_PR_CHANGE="",IF(TITLE_NUMBER_PR="","",TITLE_NUMBER_PR),TITLE_NUMBER_PR_CHANGE)</f>
        <v>94-р</v>
      </c>
      <c r="W33" s="5372"/>
      <c r="X33" s="5372"/>
      <c r="Y33" s="5372"/>
      <c r="Z33" s="5372"/>
      <c r="AA33" s="5372"/>
      <c r="AB33" s="5372"/>
      <c r="AC33" s="263"/>
      <c r="AD33" s="5372" t="str">
        <f>IF(TITLE_NUMBER_PR_CHANGE="",IF(TITLE_NUMBER_PR="","",TITLE_NUMBER_PR),TITLE_NUMBER_PR_CHANGE)</f>
        <v>94-р</v>
      </c>
      <c r="AE33" s="5372"/>
      <c r="AF33" s="5372"/>
      <c r="AG33" s="5372"/>
      <c r="AH33" s="5372"/>
      <c r="AI33" s="5372"/>
      <c r="AJ33" s="5372"/>
      <c r="AK33" s="5372"/>
      <c r="AL33" s="5372"/>
      <c r="AM33" s="5372"/>
      <c r="AN33" s="5372"/>
      <c r="AO33" s="5372"/>
      <c r="AP33" s="5372"/>
      <c r="AQ33" s="5372"/>
      <c r="AR33" s="5372"/>
      <c r="AS33" s="5372"/>
      <c r="AT33" s="5372"/>
      <c r="AU33" s="5372"/>
      <c r="AV33" s="5372"/>
      <c r="AW33" s="5372"/>
      <c r="AX33" s="5372"/>
      <c r="AY33" s="5372"/>
      <c r="AZ33" s="5372"/>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5370" t="s">
        <v>44</v>
      </c>
      <c r="T34" s="5370"/>
      <c r="U34" s="1298"/>
      <c r="V34" s="5372" t="str">
        <f>IF(TITLE_IST_PUB_CHANGE="",IF(TITLE_IST_PUB="","",TITLE_IST_PUB),TITLE_IST_PUB_CHANGE)</f>
        <v>http://publication.pravo.gov.ru/document/7801202407010029</v>
      </c>
      <c r="W34" s="5372"/>
      <c r="X34" s="5372"/>
      <c r="Y34" s="5372"/>
      <c r="Z34" s="5372"/>
      <c r="AA34" s="5372"/>
      <c r="AB34" s="5372"/>
      <c r="AC34" s="263"/>
      <c r="AD34" s="5372" t="str">
        <f>IF(TITLE_IST_PUB_CHANGE="",IF(TITLE_IST_PUB="","",TITLE_IST_PUB),TITLE_IST_PUB_CHANGE)</f>
        <v>http://publication.pravo.gov.ru/document/7801202407010029</v>
      </c>
      <c r="AE34" s="5372"/>
      <c r="AF34" s="5372"/>
      <c r="AG34" s="5372"/>
      <c r="AH34" s="5372"/>
      <c r="AI34" s="5372"/>
      <c r="AJ34" s="5372"/>
      <c r="AK34" s="5372"/>
      <c r="AL34" s="5372"/>
      <c r="AM34" s="5372"/>
      <c r="AN34" s="5372"/>
      <c r="AO34" s="5372"/>
      <c r="AP34" s="5372"/>
      <c r="AQ34" s="5372"/>
      <c r="AR34" s="5372"/>
      <c r="AS34" s="5372"/>
      <c r="AT34" s="5372"/>
      <c r="AU34" s="5372"/>
      <c r="AV34" s="5372"/>
      <c r="AW34" s="5372"/>
      <c r="AX34" s="5372"/>
      <c r="AY34" s="5372"/>
      <c r="AZ34" s="5372"/>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5370" t="s">
        <v>447</v>
      </c>
      <c r="T36" s="5370"/>
      <c r="U36" s="1298"/>
      <c r="V36" s="5371">
        <f>IF(TITLE_DATE_PR_CHANGE="",IF(TITLE_DATE_PR="","",TITLE_DATE_PR),TITLE_DATE_PR_CHANGE)</f>
        <v>45470</v>
      </c>
      <c r="W36" s="5371"/>
      <c r="X36" s="5371"/>
      <c r="Y36" s="5371"/>
      <c r="Z36" s="5371"/>
      <c r="AA36" s="5371"/>
      <c r="AB36" s="5371"/>
      <c r="AC36" s="263"/>
      <c r="AD36" s="5371">
        <f>IF(TITLE_DATE_PR_CHANGE="",IF(TITLE_DATE_PR="","",TITLE_DATE_PR),TITLE_DATE_PR_CHANGE)</f>
        <v>45470</v>
      </c>
      <c r="AE36" s="5371"/>
      <c r="AF36" s="5371"/>
      <c r="AG36" s="5371"/>
      <c r="AH36" s="5371"/>
      <c r="AI36" s="5371"/>
      <c r="AJ36" s="5371"/>
      <c r="AK36" s="5371"/>
      <c r="AL36" s="5371"/>
      <c r="AM36" s="5371"/>
      <c r="AN36" s="5371"/>
      <c r="AO36" s="5371"/>
      <c r="AP36" s="5371"/>
      <c r="AQ36" s="5371"/>
      <c r="AR36" s="5371"/>
      <c r="AS36" s="5371"/>
      <c r="AT36" s="5371"/>
      <c r="AU36" s="5371"/>
      <c r="AV36" s="5371"/>
      <c r="AW36" s="5371"/>
      <c r="AX36" s="5371"/>
      <c r="AY36" s="5371"/>
      <c r="AZ36" s="5371"/>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5370" t="s">
        <v>448</v>
      </c>
      <c r="T37" s="5370"/>
      <c r="U37" s="1298"/>
      <c r="V37" s="5372" t="str">
        <f>IF(TITLE_NUMBER_PR_CHANGE="",IF(TITLE_NUMBER_PR="","",TITLE_NUMBER_PR),TITLE_NUMBER_PR_CHANGE)</f>
        <v>94-р</v>
      </c>
      <c r="W37" s="5372"/>
      <c r="X37" s="5372"/>
      <c r="Y37" s="5372"/>
      <c r="Z37" s="5372"/>
      <c r="AA37" s="5372"/>
      <c r="AB37" s="5372"/>
      <c r="AC37" s="263"/>
      <c r="AD37" s="5372" t="str">
        <f>IF(TITLE_NUMBER_PR_CHANGE="",IF(TITLE_NUMBER_PR="","",TITLE_NUMBER_PR),TITLE_NUMBER_PR_CHANGE)</f>
        <v>94-р</v>
      </c>
      <c r="AE37" s="5372"/>
      <c r="AF37" s="5372"/>
      <c r="AG37" s="5372"/>
      <c r="AH37" s="5372"/>
      <c r="AI37" s="5372"/>
      <c r="AJ37" s="5372"/>
      <c r="AK37" s="5372"/>
      <c r="AL37" s="5372"/>
      <c r="AM37" s="5372"/>
      <c r="AN37" s="5372"/>
      <c r="AO37" s="5372"/>
      <c r="AP37" s="5372"/>
      <c r="AQ37" s="5372"/>
      <c r="AR37" s="5372"/>
      <c r="AS37" s="5372"/>
      <c r="AT37" s="5372"/>
      <c r="AU37" s="5372"/>
      <c r="AV37" s="5372"/>
      <c r="AW37" s="5372"/>
      <c r="AX37" s="5372"/>
      <c r="AY37" s="5372"/>
      <c r="AZ37" s="5372"/>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451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451</v>
      </c>
      <c r="BD38" s="304"/>
      <c r="BE38" s="304"/>
      <c r="BF38" s="304"/>
      <c r="BG38" s="304"/>
      <c r="BH38" s="304"/>
      <c r="BI38" s="354">
        <v>0</v>
      </c>
    </row>
    <row r="39" spans="1:61" ht="14.65" customHeight="1">
      <c r="Q39" s="228"/>
      <c r="R39" s="312"/>
      <c r="S39" s="1201"/>
      <c r="T39" s="299"/>
      <c r="U39" s="1170"/>
      <c r="V39" s="5393"/>
      <c r="W39" s="5393"/>
      <c r="X39" s="5393"/>
      <c r="Y39" s="5393"/>
      <c r="Z39" s="5393"/>
      <c r="AA39" s="5393"/>
      <c r="AB39" s="5393"/>
      <c r="AC39" s="5393"/>
      <c r="AD39" s="5393"/>
      <c r="AE39" s="5393"/>
      <c r="AF39" s="5393"/>
      <c r="AG39" s="5393"/>
      <c r="AH39" s="5393"/>
      <c r="AI39" s="5393"/>
      <c r="AJ39" s="5393"/>
      <c r="AK39" s="5393"/>
      <c r="AL39" s="5393"/>
      <c r="AM39" s="5393"/>
      <c r="AN39" s="5393"/>
      <c r="AO39" s="5393"/>
      <c r="AP39" s="5393"/>
      <c r="AQ39" s="5393"/>
      <c r="AR39" s="5393"/>
      <c r="AS39" s="5393"/>
      <c r="AT39" s="5393"/>
      <c r="AU39" s="5393"/>
      <c r="AV39" s="5393"/>
      <c r="AW39" s="5393"/>
      <c r="AX39" s="5393"/>
      <c r="AY39" s="5393"/>
      <c r="AZ39" s="5393"/>
      <c r="BA39" s="5393"/>
      <c r="BI39" s="1081">
        <v>14</v>
      </c>
    </row>
    <row r="40" spans="1:61" ht="14.65" customHeight="1">
      <c r="Q40" s="228"/>
      <c r="R40" s="312"/>
      <c r="S40" s="5235" t="s">
        <v>327</v>
      </c>
      <c r="T40" s="5235"/>
      <c r="U40" s="5235"/>
      <c r="V40" s="5235"/>
      <c r="W40" s="5235"/>
      <c r="X40" s="5235"/>
      <c r="Y40" s="5235"/>
      <c r="Z40" s="5235"/>
      <c r="AA40" s="5235"/>
      <c r="AB40" s="5235"/>
      <c r="AC40" s="5235"/>
      <c r="AD40" s="5235"/>
      <c r="AE40" s="5235"/>
      <c r="AF40" s="5235"/>
      <c r="AG40" s="5235"/>
      <c r="AH40" s="5235"/>
      <c r="AI40" s="5235"/>
      <c r="AJ40" s="5235"/>
      <c r="AK40" s="5235"/>
      <c r="AL40" s="5235"/>
      <c r="AM40" s="5235"/>
      <c r="AN40" s="5235"/>
      <c r="AO40" s="5235"/>
      <c r="AP40" s="5235"/>
      <c r="AQ40" s="5235"/>
      <c r="AR40" s="5235"/>
      <c r="AS40" s="5235"/>
      <c r="AT40" s="5235"/>
      <c r="AU40" s="5235"/>
      <c r="AV40" s="5235"/>
      <c r="AW40" s="5235"/>
      <c r="AX40" s="5235"/>
      <c r="AY40" s="5235"/>
      <c r="AZ40" s="5235"/>
      <c r="BA40" s="5235"/>
      <c r="BB40" s="5235"/>
      <c r="BC40" s="5235" t="s">
        <v>328</v>
      </c>
      <c r="BI40" s="1081">
        <v>14</v>
      </c>
    </row>
    <row r="41" spans="1:61" ht="14.65" customHeight="1">
      <c r="Q41" s="228"/>
      <c r="R41" s="312"/>
      <c r="S41" s="5395" t="s">
        <v>90</v>
      </c>
      <c r="T41" s="5339" t="s">
        <v>539</v>
      </c>
      <c r="U41" s="238"/>
      <c r="V41" s="5396" t="s">
        <v>453</v>
      </c>
      <c r="W41" s="5397"/>
      <c r="X41" s="5397"/>
      <c r="Y41" s="5397"/>
      <c r="Z41" s="5397"/>
      <c r="AA41" s="5397"/>
      <c r="AB41" s="5398"/>
      <c r="AC41" s="5399" t="s">
        <v>454</v>
      </c>
      <c r="AD41" s="5437" t="s">
        <v>540</v>
      </c>
      <c r="AE41" s="5419"/>
      <c r="AF41" s="5419"/>
      <c r="AG41" s="5438"/>
      <c r="AH41" s="5437" t="s">
        <v>541</v>
      </c>
      <c r="AI41" s="5419"/>
      <c r="AJ41" s="5419"/>
      <c r="AK41" s="5438"/>
      <c r="AL41" s="5437" t="s">
        <v>542</v>
      </c>
      <c r="AM41" s="5419"/>
      <c r="AN41" s="5419"/>
      <c r="AO41" s="5438"/>
      <c r="AP41" s="5437" t="s">
        <v>543</v>
      </c>
      <c r="AQ41" s="5419"/>
      <c r="AR41" s="5419"/>
      <c r="AS41" s="5438"/>
      <c r="AT41" s="5396" t="s">
        <v>453</v>
      </c>
      <c r="AU41" s="5397"/>
      <c r="AV41" s="5397"/>
      <c r="AW41" s="5397"/>
      <c r="AX41" s="5397"/>
      <c r="AY41" s="5397"/>
      <c r="AZ41" s="5398"/>
      <c r="BA41" s="5399" t="s">
        <v>454</v>
      </c>
      <c r="BB41" s="5402" t="s">
        <v>456</v>
      </c>
      <c r="BC41" s="5235"/>
      <c r="BI41" s="1081">
        <v>14</v>
      </c>
    </row>
    <row r="42" spans="1:61" ht="35.65" customHeight="1">
      <c r="Q42" s="228"/>
      <c r="R42" s="312"/>
      <c r="S42" s="5395"/>
      <c r="T42" s="5339"/>
      <c r="U42" s="960"/>
      <c r="V42" s="5312" t="s">
        <v>544</v>
      </c>
      <c r="W42" s="5313"/>
      <c r="X42" s="5312" t="s">
        <v>545</v>
      </c>
      <c r="Y42" s="5313"/>
      <c r="Z42" s="5312" t="s">
        <v>546</v>
      </c>
      <c r="AA42" s="5432"/>
      <c r="AB42" s="5313"/>
      <c r="AC42" s="5400"/>
      <c r="AD42" s="5439"/>
      <c r="AE42" s="5440"/>
      <c r="AF42" s="5440"/>
      <c r="AG42" s="5452"/>
      <c r="AH42" s="5439"/>
      <c r="AI42" s="5440"/>
      <c r="AJ42" s="5440"/>
      <c r="AK42" s="5452"/>
      <c r="AL42" s="5439"/>
      <c r="AM42" s="5440"/>
      <c r="AN42" s="5440"/>
      <c r="AO42" s="5452"/>
      <c r="AP42" s="5439"/>
      <c r="AQ42" s="5440"/>
      <c r="AR42" s="5440"/>
      <c r="AS42" s="5452"/>
      <c r="AT42" s="5312" t="s">
        <v>544</v>
      </c>
      <c r="AU42" s="5313"/>
      <c r="AV42" s="5312" t="s">
        <v>545</v>
      </c>
      <c r="AW42" s="5313"/>
      <c r="AX42" s="5312" t="s">
        <v>546</v>
      </c>
      <c r="AY42" s="5432"/>
      <c r="AZ42" s="5313"/>
      <c r="BA42" s="5400"/>
      <c r="BB42" s="5403"/>
      <c r="BC42" s="5235"/>
      <c r="BI42" s="1081">
        <v>34</v>
      </c>
    </row>
    <row r="43" spans="1:61" ht="14.65" customHeight="1">
      <c r="Q43" s="228"/>
      <c r="R43" s="312"/>
      <c r="S43" s="5395"/>
      <c r="T43" s="5339"/>
      <c r="U43" s="960"/>
      <c r="V43" s="5317"/>
      <c r="W43" s="5318"/>
      <c r="X43" s="5317"/>
      <c r="Y43" s="5318"/>
      <c r="Z43" s="5317"/>
      <c r="AA43" s="5433"/>
      <c r="AB43" s="5318"/>
      <c r="AC43" s="5400"/>
      <c r="AD43" s="5439"/>
      <c r="AE43" s="5440"/>
      <c r="AF43" s="5440"/>
      <c r="AG43" s="5452"/>
      <c r="AH43" s="5439"/>
      <c r="AI43" s="5440"/>
      <c r="AJ43" s="5440"/>
      <c r="AK43" s="5452"/>
      <c r="AL43" s="5439"/>
      <c r="AM43" s="5440"/>
      <c r="AN43" s="5440"/>
      <c r="AO43" s="5452"/>
      <c r="AP43" s="5439"/>
      <c r="AQ43" s="5440"/>
      <c r="AR43" s="5440"/>
      <c r="AS43" s="5452"/>
      <c r="AT43" s="5317"/>
      <c r="AU43" s="5318"/>
      <c r="AV43" s="5317"/>
      <c r="AW43" s="5318"/>
      <c r="AX43" s="5317"/>
      <c r="AY43" s="5433"/>
      <c r="AZ43" s="5318"/>
      <c r="BA43" s="5400"/>
      <c r="BB43" s="5403"/>
      <c r="BC43" s="5235"/>
      <c r="BI43" s="1081">
        <v>14</v>
      </c>
    </row>
    <row r="44" spans="1:61" ht="14.65" customHeight="1">
      <c r="A44" s="1296"/>
      <c r="B44" s="1296" t="s">
        <v>137</v>
      </c>
      <c r="C44" s="1296" t="s">
        <v>138</v>
      </c>
      <c r="D44" s="1296" t="s">
        <v>139</v>
      </c>
      <c r="E44" s="1290" t="s">
        <v>461</v>
      </c>
      <c r="F44" s="1290" t="s">
        <v>462</v>
      </c>
      <c r="G44" s="1290" t="s">
        <v>463</v>
      </c>
      <c r="H44" s="1290" t="s">
        <v>464</v>
      </c>
      <c r="I44" s="1290" t="s">
        <v>465</v>
      </c>
      <c r="J44" s="1290" t="s">
        <v>466</v>
      </c>
      <c r="K44" s="1290" t="s">
        <v>467</v>
      </c>
      <c r="L44" s="1290" t="s">
        <v>442</v>
      </c>
      <c r="Q44" s="228"/>
      <c r="R44" s="312"/>
      <c r="S44" s="5395"/>
      <c r="T44" s="5339"/>
      <c r="U44" s="239"/>
      <c r="V44" s="1374" t="s">
        <v>510</v>
      </c>
      <c r="W44" s="1374" t="s">
        <v>511</v>
      </c>
      <c r="X44" s="1374" t="s">
        <v>510</v>
      </c>
      <c r="Y44" s="1374" t="s">
        <v>511</v>
      </c>
      <c r="Z44" s="1381" t="s">
        <v>470</v>
      </c>
      <c r="AA44" s="5344" t="s">
        <v>471</v>
      </c>
      <c r="AB44" s="5358"/>
      <c r="AC44" s="5401"/>
      <c r="AD44" s="5441"/>
      <c r="AE44" s="5442"/>
      <c r="AF44" s="5442"/>
      <c r="AG44" s="5443"/>
      <c r="AH44" s="5441"/>
      <c r="AI44" s="5442"/>
      <c r="AJ44" s="5442"/>
      <c r="AK44" s="5443"/>
      <c r="AL44" s="5441"/>
      <c r="AM44" s="5442"/>
      <c r="AN44" s="5442"/>
      <c r="AO44" s="5443"/>
      <c r="AP44" s="5441"/>
      <c r="AQ44" s="5442"/>
      <c r="AR44" s="5442"/>
      <c r="AS44" s="5443"/>
      <c r="AT44" s="1374" t="s">
        <v>510</v>
      </c>
      <c r="AU44" s="1374" t="s">
        <v>511</v>
      </c>
      <c r="AV44" s="1374" t="s">
        <v>510</v>
      </c>
      <c r="AW44" s="1374" t="s">
        <v>511</v>
      </c>
      <c r="AX44" s="1381" t="s">
        <v>470</v>
      </c>
      <c r="AY44" s="5344" t="s">
        <v>471</v>
      </c>
      <c r="AZ44" s="5358"/>
      <c r="BA44" s="5401"/>
      <c r="BB44" s="5404"/>
      <c r="BC44" s="5235"/>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377">
        <f t="shared" ref="V45:AA45" ca="1" si="2">OFFSET(V45,0,-1)+1</f>
        <v>3</v>
      </c>
      <c r="W45" s="1377">
        <f t="shared" ca="1" si="2"/>
        <v>4</v>
      </c>
      <c r="X45" s="1377">
        <f t="shared" ca="1" si="2"/>
        <v>5</v>
      </c>
      <c r="Y45" s="1377">
        <f t="shared" ca="1" si="2"/>
        <v>6</v>
      </c>
      <c r="Z45" s="1377">
        <f t="shared" ca="1" si="2"/>
        <v>7</v>
      </c>
      <c r="AA45" s="5392">
        <f t="shared" ca="1" si="2"/>
        <v>8</v>
      </c>
      <c r="AB45" s="5392"/>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5392">
        <f ca="1">OFFSET(AY45,0,-1)+1</f>
        <v>3</v>
      </c>
      <c r="AZ45" s="5392"/>
      <c r="BA45" s="1377">
        <f ca="1">OFFSET(BA45,0,-2)+1</f>
        <v>4</v>
      </c>
      <c r="BB45" s="1171">
        <f ca="1">OFFSET(BB45,0,-1)</f>
        <v>4</v>
      </c>
      <c r="BC45" s="1377">
        <f ca="1">OFFSET(BC45,0,-1)+1</f>
        <v>5</v>
      </c>
      <c r="BD45" s="447"/>
      <c r="BE45" s="447"/>
      <c r="BF45" s="447"/>
      <c r="BG45" s="447"/>
      <c r="BH45" s="447"/>
      <c r="BI45" s="432">
        <v>0</v>
      </c>
    </row>
    <row r="46" spans="1:61" ht="21.95" customHeight="1">
      <c r="A46" s="1289" t="s">
        <v>273</v>
      </c>
      <c r="B46" s="1289"/>
      <c r="C46" s="1289"/>
      <c r="D46" s="1289"/>
      <c r="E46" s="5381">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5374"/>
      <c r="W46" s="5374"/>
      <c r="X46" s="5374"/>
      <c r="Y46" s="5374"/>
      <c r="Z46" s="5374"/>
      <c r="AA46" s="5374"/>
      <c r="AB46" s="5374"/>
      <c r="AC46" s="5375"/>
      <c r="AD46" s="5373" t="str">
        <f>INDEX(PT_DIFFERENTIATION_NTAR,MATCH(A46,PT_DIFFERENTIATION_NTAR_ID,0))</f>
        <v/>
      </c>
      <c r="AE46" s="5374"/>
      <c r="AF46" s="5374"/>
      <c r="AG46" s="5374"/>
      <c r="AH46" s="5374"/>
      <c r="AI46" s="5374"/>
      <c r="AJ46" s="5374"/>
      <c r="AK46" s="5374"/>
      <c r="AL46" s="5374"/>
      <c r="AM46" s="5374"/>
      <c r="AN46" s="5374"/>
      <c r="AO46" s="5374"/>
      <c r="AP46" s="5374"/>
      <c r="AQ46" s="5374"/>
      <c r="AR46" s="5374"/>
      <c r="AS46" s="5374"/>
      <c r="AT46" s="5374"/>
      <c r="AU46" s="5374"/>
      <c r="AV46" s="5374"/>
      <c r="AW46" s="5374"/>
      <c r="AX46" s="5374"/>
      <c r="AY46" s="5374"/>
      <c r="AZ46" s="5374"/>
      <c r="BA46" s="5374"/>
      <c r="BB46" s="537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273</v>
      </c>
      <c r="B47" s="1289" t="s">
        <v>274</v>
      </c>
      <c r="C47" s="1289"/>
      <c r="D47" s="1289"/>
      <c r="E47" s="5382"/>
      <c r="F47" s="5381">
        <v>1</v>
      </c>
      <c r="G47" s="1289"/>
      <c r="H47" s="1289"/>
      <c r="I47" s="1289"/>
      <c r="J47" s="1289"/>
      <c r="K47" s="1289"/>
      <c r="L47" s="1290"/>
      <c r="M47" s="1291"/>
      <c r="N47" s="1291"/>
      <c r="O47" s="1291"/>
      <c r="P47" s="1336"/>
      <c r="Q47" s="1337"/>
      <c r="R47" s="289"/>
      <c r="S47" s="1383" t="str">
        <f>INDEX(PT_DIFFERENTIATION_NUM_TER,MATCH(B47,PT_DIFFERENTIATION_TER_ID,0))</f>
        <v>.</v>
      </c>
      <c r="T47" s="245" t="s">
        <v>424</v>
      </c>
      <c r="U47" s="237"/>
      <c r="V47" s="5374"/>
      <c r="W47" s="5374"/>
      <c r="X47" s="5374"/>
      <c r="Y47" s="5374"/>
      <c r="Z47" s="5374"/>
      <c r="AA47" s="5374"/>
      <c r="AB47" s="5374"/>
      <c r="AC47" s="5375"/>
      <c r="AD47" s="5373" t="str">
        <f>INDEX(PT_DIFFERENTIATION_TER,MATCH(B47,PT_DIFFERENTIATION_TER_ID,0))</f>
        <v/>
      </c>
      <c r="AE47" s="5374"/>
      <c r="AF47" s="5374"/>
      <c r="AG47" s="5374"/>
      <c r="AH47" s="5374"/>
      <c r="AI47" s="5374"/>
      <c r="AJ47" s="5374"/>
      <c r="AK47" s="5374"/>
      <c r="AL47" s="5374"/>
      <c r="AM47" s="5374"/>
      <c r="AN47" s="5374"/>
      <c r="AO47" s="5374"/>
      <c r="AP47" s="5374"/>
      <c r="AQ47" s="5374"/>
      <c r="AR47" s="5374"/>
      <c r="AS47" s="5374"/>
      <c r="AT47" s="5374"/>
      <c r="AU47" s="5374"/>
      <c r="AV47" s="5374"/>
      <c r="AW47" s="5374"/>
      <c r="AX47" s="5374"/>
      <c r="AY47" s="5374"/>
      <c r="AZ47" s="5374"/>
      <c r="BA47" s="5374"/>
      <c r="BB47" s="5375"/>
      <c r="BC47" s="1184" t="s">
        <v>425</v>
      </c>
      <c r="BE47" s="436"/>
      <c r="BF47" s="436" t="str">
        <f t="shared" si="3"/>
        <v>Территория действия тарифа</v>
      </c>
      <c r="BG47" s="436"/>
      <c r="BH47" s="436"/>
      <c r="BI47" s="1081">
        <v>21</v>
      </c>
    </row>
    <row r="48" spans="1:61" ht="43.15" customHeight="1">
      <c r="A48" s="1289" t="s">
        <v>273</v>
      </c>
      <c r="B48" s="1289" t="s">
        <v>274</v>
      </c>
      <c r="C48" s="1289" t="s">
        <v>275</v>
      </c>
      <c r="D48" s="1289"/>
      <c r="E48" s="5382"/>
      <c r="F48" s="5382"/>
      <c r="G48" s="5381">
        <v>1</v>
      </c>
      <c r="H48" s="1289"/>
      <c r="I48" s="1289"/>
      <c r="J48" s="1289"/>
      <c r="K48" s="1289"/>
      <c r="L48" s="1290"/>
      <c r="M48" s="1291"/>
      <c r="N48" s="1291"/>
      <c r="O48" s="1291"/>
      <c r="P48" s="1338"/>
      <c r="Q48" s="1337"/>
      <c r="R48" s="289"/>
      <c r="S48" s="1383" t="str">
        <f>INDEX(PT_DIFFERENTIATION_NUM_CS,MATCH(C48,PT_DIFFERENTIATION_CS_ID,0))</f>
        <v>..</v>
      </c>
      <c r="T48" s="246" t="s">
        <v>513</v>
      </c>
      <c r="U48" s="237"/>
      <c r="V48" s="5374"/>
      <c r="W48" s="5374"/>
      <c r="X48" s="5374"/>
      <c r="Y48" s="5374"/>
      <c r="Z48" s="5374"/>
      <c r="AA48" s="5374"/>
      <c r="AB48" s="5374"/>
      <c r="AC48" s="5375"/>
      <c r="AD48" s="5373" t="str">
        <f>INDEX(PT_DIFFERENTIATION_CS,MATCH(C48,PT_DIFFERENTIATION_CS_ID,0))</f>
        <v/>
      </c>
      <c r="AE48" s="5374"/>
      <c r="AF48" s="5374"/>
      <c r="AG48" s="5374"/>
      <c r="AH48" s="5374"/>
      <c r="AI48" s="5374"/>
      <c r="AJ48" s="5374"/>
      <c r="AK48" s="5374"/>
      <c r="AL48" s="5374"/>
      <c r="AM48" s="5374"/>
      <c r="AN48" s="5374"/>
      <c r="AO48" s="5374"/>
      <c r="AP48" s="5374"/>
      <c r="AQ48" s="5374"/>
      <c r="AR48" s="5374"/>
      <c r="AS48" s="5374"/>
      <c r="AT48" s="5374"/>
      <c r="AU48" s="5374"/>
      <c r="AV48" s="5374"/>
      <c r="AW48" s="5374"/>
      <c r="AX48" s="5374"/>
      <c r="AY48" s="5374"/>
      <c r="AZ48" s="5374"/>
      <c r="BA48" s="5374"/>
      <c r="BB48" s="5375"/>
      <c r="BC48" s="1184" t="s">
        <v>514</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273</v>
      </c>
      <c r="B49" s="1269" t="s">
        <v>274</v>
      </c>
      <c r="C49" s="1269" t="s">
        <v>275</v>
      </c>
      <c r="D49" s="1269" t="s">
        <v>547</v>
      </c>
      <c r="E49" s="5382"/>
      <c r="F49" s="5382"/>
      <c r="G49" s="5382"/>
      <c r="H49" s="5381">
        <v>1</v>
      </c>
      <c r="I49" s="1269"/>
      <c r="J49" s="1269"/>
      <c r="K49" s="1269"/>
      <c r="L49" s="1272"/>
      <c r="M49" s="1241"/>
      <c r="N49" s="1241"/>
      <c r="O49" s="1241"/>
      <c r="P49" s="1423"/>
      <c r="Q49" s="1424"/>
      <c r="R49" s="293"/>
      <c r="S49" s="971"/>
      <c r="T49" s="1425"/>
      <c r="U49" s="1310"/>
      <c r="V49" s="5421"/>
      <c r="W49" s="5421"/>
      <c r="X49" s="5421"/>
      <c r="Y49" s="5421"/>
      <c r="Z49" s="5421"/>
      <c r="AA49" s="5421"/>
      <c r="AB49" s="5421"/>
      <c r="AC49" s="5422"/>
      <c r="AD49" s="5420"/>
      <c r="AE49" s="5421"/>
      <c r="AF49" s="5421"/>
      <c r="AG49" s="5421"/>
      <c r="AH49" s="5421"/>
      <c r="AI49" s="5421"/>
      <c r="AJ49" s="5421"/>
      <c r="AK49" s="5421"/>
      <c r="AL49" s="5421"/>
      <c r="AM49" s="5421"/>
      <c r="AN49" s="5421"/>
      <c r="AO49" s="5421"/>
      <c r="AP49" s="5421"/>
      <c r="AQ49" s="5421"/>
      <c r="AR49" s="5421"/>
      <c r="AS49" s="5421"/>
      <c r="AT49" s="5421"/>
      <c r="AU49" s="5421"/>
      <c r="AV49" s="5421"/>
      <c r="AW49" s="5421"/>
      <c r="AX49" s="5421"/>
      <c r="AY49" s="5421"/>
      <c r="AZ49" s="5421"/>
      <c r="BA49" s="5421"/>
      <c r="BB49" s="5422"/>
      <c r="BC49" s="1311" t="s">
        <v>429</v>
      </c>
      <c r="BE49" s="436"/>
      <c r="BF49" s="436" t="str">
        <f t="shared" si="3"/>
        <v/>
      </c>
      <c r="BG49" s="436"/>
      <c r="BH49" s="436"/>
      <c r="BI49" s="447">
        <v>0</v>
      </c>
    </row>
    <row r="50" spans="1:61" s="1568" customFormat="1" ht="0" hidden="1" customHeight="1">
      <c r="A50" s="1269" t="s">
        <v>273</v>
      </c>
      <c r="B50" s="1269" t="s">
        <v>274</v>
      </c>
      <c r="C50" s="1269" t="s">
        <v>275</v>
      </c>
      <c r="D50" s="1269" t="s">
        <v>547</v>
      </c>
      <c r="E50" s="5382"/>
      <c r="F50" s="5382"/>
      <c r="G50" s="5382"/>
      <c r="H50" s="5382"/>
      <c r="I50" s="5383" t="str">
        <f>S49&amp;".1"</f>
        <v>.1</v>
      </c>
      <c r="J50" s="1269"/>
      <c r="K50" s="1269"/>
      <c r="L50" s="1272" t="s">
        <v>430</v>
      </c>
      <c r="M50" s="446"/>
      <c r="N50" s="446"/>
      <c r="O50" s="446"/>
      <c r="P50" s="5385">
        <v>1</v>
      </c>
      <c r="Q50" s="1388"/>
      <c r="R50" s="292"/>
      <c r="S50" s="971"/>
      <c r="T50" s="1309"/>
      <c r="U50" s="1310"/>
      <c r="V50" s="5421"/>
      <c r="W50" s="5421"/>
      <c r="X50" s="5421"/>
      <c r="Y50" s="5421"/>
      <c r="Z50" s="5421"/>
      <c r="AA50" s="5421"/>
      <c r="AB50" s="5421"/>
      <c r="AC50" s="5422"/>
      <c r="AD50" s="5420"/>
      <c r="AE50" s="5421"/>
      <c r="AF50" s="5421"/>
      <c r="AG50" s="5421"/>
      <c r="AH50" s="5421"/>
      <c r="AI50" s="5421"/>
      <c r="AJ50" s="5421"/>
      <c r="AK50" s="5421"/>
      <c r="AL50" s="5421"/>
      <c r="AM50" s="5421"/>
      <c r="AN50" s="5421"/>
      <c r="AO50" s="5421"/>
      <c r="AP50" s="5421"/>
      <c r="AQ50" s="5421"/>
      <c r="AR50" s="5421"/>
      <c r="AS50" s="5421"/>
      <c r="AT50" s="5421"/>
      <c r="AU50" s="5421"/>
      <c r="AV50" s="5421"/>
      <c r="AW50" s="5421"/>
      <c r="AX50" s="5421"/>
      <c r="AY50" s="5421"/>
      <c r="AZ50" s="5421"/>
      <c r="BA50" s="5421"/>
      <c r="BB50" s="5422"/>
      <c r="BC50" s="1311"/>
      <c r="BE50" s="436"/>
      <c r="BF50" s="436" t="str">
        <f t="shared" si="3"/>
        <v/>
      </c>
      <c r="BG50" s="436"/>
      <c r="BH50" s="436"/>
      <c r="BI50" s="447">
        <v>0</v>
      </c>
    </row>
    <row r="51" spans="1:61" s="1568" customFormat="1" ht="0" hidden="1" customHeight="1">
      <c r="A51" s="1269" t="s">
        <v>273</v>
      </c>
      <c r="B51" s="1269" t="s">
        <v>274</v>
      </c>
      <c r="C51" s="1269" t="s">
        <v>275</v>
      </c>
      <c r="D51" s="1269" t="s">
        <v>547</v>
      </c>
      <c r="E51" s="5382"/>
      <c r="F51" s="5382"/>
      <c r="G51" s="5382"/>
      <c r="H51" s="5382"/>
      <c r="I51" s="5384"/>
      <c r="J51" s="5383" t="str">
        <f>S49&amp;".1"</f>
        <v>.1</v>
      </c>
      <c r="K51" s="1269"/>
      <c r="L51" s="1272"/>
      <c r="M51" s="446"/>
      <c r="N51" s="446"/>
      <c r="O51" s="446"/>
      <c r="P51" s="5385"/>
      <c r="Q51" s="5385">
        <v>1</v>
      </c>
      <c r="R51" s="293"/>
      <c r="S51" s="971"/>
      <c r="T51" s="1325"/>
      <c r="U51" s="1310"/>
      <c r="V51" s="5421"/>
      <c r="W51" s="5421"/>
      <c r="X51" s="5421"/>
      <c r="Y51" s="5421"/>
      <c r="Z51" s="5421"/>
      <c r="AA51" s="5421"/>
      <c r="AB51" s="5421"/>
      <c r="AC51" s="5422"/>
      <c r="AD51" s="5420"/>
      <c r="AE51" s="5421"/>
      <c r="AF51" s="5421"/>
      <c r="AG51" s="5421"/>
      <c r="AH51" s="5421"/>
      <c r="AI51" s="5421"/>
      <c r="AJ51" s="5421"/>
      <c r="AK51" s="5421"/>
      <c r="AL51" s="5421"/>
      <c r="AM51" s="5421"/>
      <c r="AN51" s="5474"/>
      <c r="AO51" s="5474"/>
      <c r="AP51" s="5421"/>
      <c r="AQ51" s="5421"/>
      <c r="AR51" s="5421"/>
      <c r="AS51" s="5421"/>
      <c r="AT51" s="5421"/>
      <c r="AU51" s="5421"/>
      <c r="AV51" s="5421"/>
      <c r="AW51" s="5421"/>
      <c r="AX51" s="5421"/>
      <c r="AY51" s="5421"/>
      <c r="AZ51" s="5421"/>
      <c r="BA51" s="5421"/>
      <c r="BB51" s="5422"/>
      <c r="BC51" s="1311"/>
      <c r="BE51" s="436"/>
      <c r="BF51" s="436" t="str">
        <f t="shared" si="3"/>
        <v/>
      </c>
      <c r="BG51" s="436"/>
      <c r="BH51" s="436"/>
      <c r="BI51" s="447">
        <v>0</v>
      </c>
    </row>
    <row r="52" spans="1:61" ht="11.45" customHeight="1">
      <c r="A52" s="1289" t="s">
        <v>273</v>
      </c>
      <c r="B52" s="1289" t="s">
        <v>274</v>
      </c>
      <c r="C52" s="1289" t="s">
        <v>275</v>
      </c>
      <c r="D52" s="1289" t="s">
        <v>547</v>
      </c>
      <c r="E52" s="5382"/>
      <c r="F52" s="5382"/>
      <c r="G52" s="5382"/>
      <c r="H52" s="5382"/>
      <c r="I52" s="5384"/>
      <c r="J52" s="5384"/>
      <c r="K52" s="5383" t="str">
        <f>S48&amp;".1"</f>
        <v>...1</v>
      </c>
      <c r="L52" s="1290"/>
      <c r="P52" s="5385"/>
      <c r="Q52" s="5385"/>
      <c r="R52" s="293">
        <v>1</v>
      </c>
      <c r="S52" s="5448" t="str">
        <f>$K52</f>
        <v>...1</v>
      </c>
      <c r="T52" s="5468"/>
      <c r="U52" s="237"/>
      <c r="V52" s="687"/>
      <c r="W52" s="1183"/>
      <c r="X52" s="687"/>
      <c r="Y52" s="1183"/>
      <c r="Z52" s="1659"/>
      <c r="AA52" s="1385" t="s">
        <v>65</v>
      </c>
      <c r="AB52" s="1659"/>
      <c r="AC52" s="1385" t="s">
        <v>65</v>
      </c>
      <c r="AD52" s="5303" t="s">
        <v>65</v>
      </c>
      <c r="AE52" s="5444"/>
      <c r="AF52" s="5335">
        <v>1</v>
      </c>
      <c r="AG52" s="5467"/>
      <c r="AH52" s="5245" t="s">
        <v>65</v>
      </c>
      <c r="AI52" s="5444"/>
      <c r="AJ52" s="5335">
        <v>1</v>
      </c>
      <c r="AK52" s="5458" t="s">
        <v>28</v>
      </c>
      <c r="AL52" s="5245" t="s">
        <v>65</v>
      </c>
      <c r="AM52" s="5312"/>
      <c r="AN52" s="5335">
        <v>1</v>
      </c>
      <c r="AO52" s="5471"/>
      <c r="AP52" s="5472" t="s">
        <v>65</v>
      </c>
      <c r="AQ52" s="248"/>
      <c r="AR52" s="1389">
        <v>1</v>
      </c>
      <c r="AS52" s="1392" t="s">
        <v>28</v>
      </c>
      <c r="AT52" s="687"/>
      <c r="AU52" s="1183"/>
      <c r="AV52" s="687"/>
      <c r="AW52" s="1183"/>
      <c r="AX52" s="1659"/>
      <c r="AY52" s="1385" t="s">
        <v>65</v>
      </c>
      <c r="AZ52" s="1659"/>
      <c r="BA52" s="1385" t="s">
        <v>65</v>
      </c>
      <c r="BB52" s="1274"/>
      <c r="BC52" s="5405" t="s">
        <v>533</v>
      </c>
      <c r="BE52" s="436"/>
      <c r="BF52" s="436" t="str">
        <f t="shared" si="3"/>
        <v/>
      </c>
      <c r="BG52" s="436"/>
      <c r="BH52" s="436"/>
      <c r="BI52" s="1081">
        <v>11</v>
      </c>
    </row>
    <row r="53" spans="1:61" ht="11.45" customHeight="1">
      <c r="A53" s="1289"/>
      <c r="B53" s="1289"/>
      <c r="C53" s="1289"/>
      <c r="D53" s="1289"/>
      <c r="E53" s="5382"/>
      <c r="F53" s="5382"/>
      <c r="G53" s="5382"/>
      <c r="H53" s="5382"/>
      <c r="I53" s="5384"/>
      <c r="J53" s="5384"/>
      <c r="K53" s="5383"/>
      <c r="L53" s="1290"/>
      <c r="P53" s="5385"/>
      <c r="Q53" s="5385"/>
      <c r="R53" s="293"/>
      <c r="S53" s="5449"/>
      <c r="T53" s="5469"/>
      <c r="U53" s="237"/>
      <c r="V53" s="1319"/>
      <c r="W53" s="1422"/>
      <c r="X53" s="1319"/>
      <c r="Y53" s="1422"/>
      <c r="Z53" s="1319"/>
      <c r="AA53" s="1319"/>
      <c r="AB53" s="1319"/>
      <c r="AC53" s="1319"/>
      <c r="AD53" s="5304"/>
      <c r="AE53" s="5444"/>
      <c r="AF53" s="5335"/>
      <c r="AG53" s="5467"/>
      <c r="AH53" s="5245"/>
      <c r="AI53" s="5444"/>
      <c r="AJ53" s="5335"/>
      <c r="AK53" s="5458"/>
      <c r="AL53" s="5245"/>
      <c r="AM53" s="5317"/>
      <c r="AN53" s="5335"/>
      <c r="AO53" s="5471"/>
      <c r="AP53" s="5473"/>
      <c r="AQ53" s="253"/>
      <c r="AR53" s="352"/>
      <c r="AS53" s="352" t="s">
        <v>534</v>
      </c>
      <c r="AT53" s="1319"/>
      <c r="AU53" s="1422"/>
      <c r="AV53" s="1319"/>
      <c r="AW53" s="1422"/>
      <c r="AX53" s="1319"/>
      <c r="AY53" s="1319"/>
      <c r="AZ53" s="1319"/>
      <c r="BA53" s="1319"/>
      <c r="BB53" s="1323"/>
      <c r="BC53" s="5406"/>
      <c r="BE53" s="436"/>
      <c r="BF53" s="436"/>
      <c r="BG53" s="436"/>
      <c r="BH53" s="436"/>
      <c r="BI53" s="1081">
        <v>11</v>
      </c>
    </row>
    <row r="54" spans="1:61" ht="11.45" customHeight="1">
      <c r="A54" s="1289" t="s">
        <v>273</v>
      </c>
      <c r="B54" s="1289"/>
      <c r="C54" s="1289"/>
      <c r="D54" s="1289"/>
      <c r="E54" s="5382"/>
      <c r="F54" s="5382"/>
      <c r="G54" s="5382"/>
      <c r="H54" s="5382"/>
      <c r="I54" s="5384"/>
      <c r="J54" s="5384"/>
      <c r="K54" s="5383"/>
      <c r="L54" s="1290"/>
      <c r="P54" s="5385"/>
      <c r="Q54" s="5385"/>
      <c r="R54" s="293"/>
      <c r="S54" s="5449"/>
      <c r="T54" s="5469"/>
      <c r="U54" s="237"/>
      <c r="V54" s="1319"/>
      <c r="W54" s="1422"/>
      <c r="X54" s="1319"/>
      <c r="Y54" s="1422"/>
      <c r="Z54" s="1319"/>
      <c r="AA54" s="1319"/>
      <c r="AB54" s="1319"/>
      <c r="AC54" s="1319"/>
      <c r="AD54" s="5304"/>
      <c r="AE54" s="5444"/>
      <c r="AF54" s="5335"/>
      <c r="AG54" s="5467"/>
      <c r="AH54" s="5245"/>
      <c r="AI54" s="5444"/>
      <c r="AJ54" s="5335"/>
      <c r="AK54" s="5458"/>
      <c r="AL54" s="5245"/>
      <c r="AM54" s="253"/>
      <c r="AN54" s="1426"/>
      <c r="AO54" s="1426" t="s">
        <v>535</v>
      </c>
      <c r="AP54" s="352"/>
      <c r="AQ54" s="352"/>
      <c r="AR54" s="352"/>
      <c r="AS54" s="1319"/>
      <c r="AT54" s="1319"/>
      <c r="AU54" s="1422"/>
      <c r="AV54" s="1319"/>
      <c r="AW54" s="1422"/>
      <c r="AX54" s="1319"/>
      <c r="AY54" s="1319"/>
      <c r="AZ54" s="1319"/>
      <c r="BA54" s="1319"/>
      <c r="BB54" s="1323"/>
      <c r="BC54" s="5406"/>
      <c r="BE54" s="436"/>
      <c r="BF54" s="436"/>
      <c r="BG54" s="436"/>
      <c r="BH54" s="436"/>
      <c r="BI54" s="1081">
        <v>11</v>
      </c>
    </row>
    <row r="55" spans="1:61" ht="11.45" customHeight="1">
      <c r="A55" s="1289" t="s">
        <v>273</v>
      </c>
      <c r="B55" s="1289"/>
      <c r="C55" s="1289"/>
      <c r="D55" s="1289"/>
      <c r="E55" s="5382"/>
      <c r="F55" s="5382"/>
      <c r="G55" s="5382"/>
      <c r="H55" s="5382"/>
      <c r="I55" s="5384"/>
      <c r="J55" s="5384"/>
      <c r="K55" s="5383"/>
      <c r="L55" s="1290"/>
      <c r="P55" s="5385"/>
      <c r="Q55" s="5385"/>
      <c r="R55" s="293"/>
      <c r="S55" s="5449"/>
      <c r="T55" s="5469"/>
      <c r="U55" s="237"/>
      <c r="V55" s="1319"/>
      <c r="W55" s="1422"/>
      <c r="X55" s="1319"/>
      <c r="Y55" s="1422"/>
      <c r="Z55" s="1319"/>
      <c r="AA55" s="1319"/>
      <c r="AB55" s="1319"/>
      <c r="AC55" s="1319"/>
      <c r="AD55" s="5304"/>
      <c r="AE55" s="5444"/>
      <c r="AF55" s="5335"/>
      <c r="AG55" s="5467"/>
      <c r="AH55" s="5245"/>
      <c r="AI55" s="231"/>
      <c r="AJ55" s="351"/>
      <c r="AK55" s="250" t="s">
        <v>536</v>
      </c>
      <c r="AL55" s="1319"/>
      <c r="AM55" s="1319"/>
      <c r="AN55" s="1319"/>
      <c r="AO55" s="1319"/>
      <c r="AP55" s="1319"/>
      <c r="AQ55" s="1319"/>
      <c r="AR55" s="1319"/>
      <c r="AS55" s="1319"/>
      <c r="AT55" s="1319"/>
      <c r="AU55" s="1422"/>
      <c r="AV55" s="1319"/>
      <c r="AW55" s="1422"/>
      <c r="AX55" s="1319"/>
      <c r="AY55" s="1319"/>
      <c r="AZ55" s="1319"/>
      <c r="BA55" s="1319"/>
      <c r="BB55" s="1323"/>
      <c r="BC55" s="5406"/>
      <c r="BE55" s="436"/>
      <c r="BF55" s="436"/>
      <c r="BG55" s="436"/>
      <c r="BH55" s="436"/>
      <c r="BI55" s="1081">
        <v>11</v>
      </c>
    </row>
    <row r="56" spans="1:61" ht="11.45" customHeight="1">
      <c r="A56" s="1289" t="s">
        <v>273</v>
      </c>
      <c r="B56" s="1289" t="s">
        <v>274</v>
      </c>
      <c r="C56" s="1289" t="s">
        <v>275</v>
      </c>
      <c r="D56" s="1289" t="s">
        <v>547</v>
      </c>
      <c r="E56" s="5382"/>
      <c r="F56" s="5382"/>
      <c r="G56" s="5382"/>
      <c r="H56" s="5382"/>
      <c r="I56" s="5384"/>
      <c r="J56" s="5384"/>
      <c r="K56" s="5383"/>
      <c r="L56" s="1290"/>
      <c r="P56" s="5385"/>
      <c r="Q56" s="5385"/>
      <c r="R56" s="293"/>
      <c r="S56" s="5450"/>
      <c r="T56" s="5470"/>
      <c r="U56" s="237"/>
      <c r="V56" s="1319"/>
      <c r="W56" s="1320" t="str">
        <f>Z52&amp;"-"&amp;AB52</f>
        <v>-</v>
      </c>
      <c r="X56" s="1319"/>
      <c r="Y56" s="1320" t="str">
        <f>AB52&amp;"-"&amp;AD52</f>
        <v>-да</v>
      </c>
      <c r="Z56" s="1319"/>
      <c r="AA56" s="1319"/>
      <c r="AB56" s="1319"/>
      <c r="AC56" s="1319"/>
      <c r="AD56" s="5250"/>
      <c r="AE56" s="249"/>
      <c r="AF56" s="251"/>
      <c r="AG56" s="352" t="s">
        <v>537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5406"/>
      <c r="BE56" s="436"/>
      <c r="BF56" s="436" t="str">
        <f t="shared" ref="BF56:BF63" si="4">IF(T56="","",T56)</f>
        <v/>
      </c>
      <c r="BG56" s="436"/>
      <c r="BH56" s="436"/>
      <c r="BI56" s="1081">
        <v>11</v>
      </c>
    </row>
    <row r="57" spans="1:61" ht="11.45" customHeight="1">
      <c r="A57" s="1289" t="s">
        <v>273</v>
      </c>
      <c r="B57" s="1289" t="s">
        <v>274</v>
      </c>
      <c r="C57" s="1289" t="s">
        <v>275</v>
      </c>
      <c r="D57" s="1289" t="s">
        <v>547</v>
      </c>
      <c r="E57" s="5382"/>
      <c r="F57" s="5382"/>
      <c r="G57" s="5382"/>
      <c r="H57" s="5382"/>
      <c r="I57" s="5384"/>
      <c r="J57" s="5383"/>
      <c r="K57" s="1289"/>
      <c r="L57" s="1290"/>
      <c r="P57" s="5385"/>
      <c r="Q57" s="5385"/>
      <c r="R57" s="292"/>
      <c r="S57" s="1204"/>
      <c r="T57" s="224" t="s">
        <v>500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5407"/>
      <c r="BE57" s="436"/>
      <c r="BF57" s="436" t="str">
        <f t="shared" si="4"/>
        <v>Добавить строку</v>
      </c>
      <c r="BG57" s="436"/>
      <c r="BH57" s="436"/>
      <c r="BI57" s="1081">
        <v>11</v>
      </c>
    </row>
    <row r="58" spans="1:61" s="1568" customFormat="1" ht="0" hidden="1" customHeight="1">
      <c r="A58" s="1269" t="s">
        <v>273</v>
      </c>
      <c r="B58" s="1269" t="s">
        <v>274</v>
      </c>
      <c r="C58" s="1269" t="s">
        <v>275</v>
      </c>
      <c r="D58" s="1269" t="s">
        <v>547</v>
      </c>
      <c r="E58" s="5382"/>
      <c r="F58" s="5382"/>
      <c r="G58" s="5382"/>
      <c r="H58" s="5382"/>
      <c r="I58" s="5383"/>
      <c r="J58" s="1269"/>
      <c r="K58" s="1269"/>
      <c r="L58" s="1272"/>
      <c r="M58" s="446"/>
      <c r="N58" s="446"/>
      <c r="O58" s="446"/>
      <c r="P58" s="5385"/>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273</v>
      </c>
      <c r="B59" s="1269" t="s">
        <v>274</v>
      </c>
      <c r="C59" s="1269" t="s">
        <v>275</v>
      </c>
      <c r="D59" s="1269" t="s">
        <v>547</v>
      </c>
      <c r="E59" s="5382"/>
      <c r="F59" s="5382"/>
      <c r="G59" s="5382"/>
      <c r="H59" s="538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273</v>
      </c>
      <c r="B60" s="1269" t="s">
        <v>274</v>
      </c>
      <c r="C60" s="1269" t="s">
        <v>275</v>
      </c>
      <c r="D60" s="1240"/>
      <c r="E60" s="5382"/>
      <c r="F60" s="5382"/>
      <c r="G60" s="5381"/>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273</v>
      </c>
      <c r="B61" s="1269" t="s">
        <v>274</v>
      </c>
      <c r="C61" s="1240"/>
      <c r="D61" s="1240"/>
      <c r="E61" s="5382"/>
      <c r="F61" s="5381"/>
      <c r="G61" s="1240"/>
      <c r="H61" s="1240"/>
      <c r="I61" s="1240"/>
      <c r="J61" s="1240"/>
      <c r="K61" s="1240"/>
      <c r="L61" s="1390"/>
      <c r="M61" s="1247"/>
      <c r="N61" s="1247"/>
      <c r="P61" s="1242"/>
      <c r="Q61" s="1243"/>
      <c r="R61" s="1242"/>
      <c r="S61" s="1248"/>
      <c r="T61" s="1251" t="s">
        <v>164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273</v>
      </c>
      <c r="B62" s="1269"/>
      <c r="C62" s="1269"/>
      <c r="D62" s="1269"/>
      <c r="E62" s="5381"/>
      <c r="F62" s="1269"/>
      <c r="G62" s="1269"/>
      <c r="H62" s="1269"/>
      <c r="I62" s="1269"/>
      <c r="J62" s="1269"/>
      <c r="K62" s="1269"/>
      <c r="L62" s="1272"/>
      <c r="M62" s="1247"/>
      <c r="N62" s="1247"/>
      <c r="O62" s="454"/>
      <c r="P62" s="316"/>
      <c r="Q62" s="1270"/>
      <c r="R62" s="316"/>
      <c r="S62" s="1248"/>
      <c r="T62" s="1251" t="s">
        <v>165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182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5379"/>
      <c r="U65" s="5379"/>
      <c r="V65" s="5379"/>
      <c r="W65" s="5379"/>
      <c r="X65" s="5379"/>
      <c r="Y65" s="5379"/>
      <c r="Z65" s="5379"/>
      <c r="AA65" s="5379"/>
      <c r="AB65" s="5379"/>
      <c r="AC65" s="5379"/>
      <c r="AD65" s="5379"/>
      <c r="AE65" s="5379"/>
      <c r="AF65" s="5379"/>
      <c r="AG65" s="5379"/>
      <c r="AH65" s="5379"/>
      <c r="AI65" s="5379"/>
      <c r="AJ65" s="5379"/>
      <c r="AK65" s="5379"/>
      <c r="AL65" s="5379"/>
      <c r="AM65" s="5379"/>
      <c r="AN65" s="5379"/>
      <c r="AO65" s="5379"/>
      <c r="AP65" s="5379"/>
      <c r="AQ65" s="5379"/>
      <c r="AR65" s="5379"/>
      <c r="AS65" s="5379"/>
      <c r="AT65" s="5379"/>
      <c r="AU65" s="5379"/>
      <c r="AV65" s="5379"/>
      <c r="AW65" s="5379"/>
      <c r="AX65" s="5379"/>
      <c r="AY65" s="5379"/>
      <c r="AZ65" s="5379"/>
      <c r="BA65" s="5379"/>
      <c r="BB65" s="5379"/>
      <c r="BC65" s="5379"/>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5379"/>
      <c r="U67" s="5379"/>
      <c r="V67" s="5379"/>
      <c r="W67" s="5379"/>
      <c r="X67" s="5379"/>
      <c r="Y67" s="5379"/>
      <c r="Z67" s="5379"/>
      <c r="AA67" s="5379"/>
      <c r="AB67" s="5379"/>
      <c r="AC67" s="5379"/>
      <c r="AD67" s="5379"/>
      <c r="AE67" s="5379"/>
      <c r="AF67" s="5379"/>
      <c r="AG67" s="5379"/>
      <c r="AH67" s="5379"/>
      <c r="AI67" s="5379"/>
      <c r="AJ67" s="5379"/>
      <c r="AK67" s="5379"/>
      <c r="AL67" s="5379"/>
      <c r="AM67" s="5379"/>
      <c r="AN67" s="5379"/>
      <c r="AO67" s="5379"/>
      <c r="AP67" s="5379"/>
      <c r="AQ67" s="5379"/>
      <c r="AR67" s="5379"/>
      <c r="AS67" s="5379"/>
      <c r="AT67" s="5379"/>
      <c r="AU67" s="5379"/>
      <c r="AV67" s="5379"/>
      <c r="AW67" s="5379"/>
      <c r="AX67" s="5379"/>
      <c r="AY67" s="5379"/>
      <c r="AZ67" s="5379"/>
      <c r="BA67" s="5379"/>
      <c r="BB67" s="5379"/>
      <c r="BC67" s="5379"/>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5381">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5373"/>
      <c r="W2" s="5374"/>
      <c r="X2" s="5374"/>
      <c r="Y2" s="5374"/>
      <c r="Z2" s="5374"/>
      <c r="AA2" s="5374"/>
      <c r="AB2" s="5375"/>
      <c r="AC2" s="5373" t="e">
        <f>INDEX(PT_DIFFERENTIATION_NTAR,MATCH(A2,PT_DIFFERENTIATION_NTAR_ID,0))</f>
        <v>#N/A</v>
      </c>
      <c r="AD2" s="5374"/>
      <c r="AE2" s="5374"/>
      <c r="AF2" s="5374"/>
      <c r="AG2" s="5374"/>
      <c r="AH2" s="5374"/>
      <c r="AI2" s="5374"/>
      <c r="AJ2" s="53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5382"/>
      <c r="F3" s="5381">
        <v>1</v>
      </c>
      <c r="G3" s="1289"/>
      <c r="H3" s="1289"/>
      <c r="I3" s="1289"/>
      <c r="J3" s="1289"/>
      <c r="K3" s="1289"/>
      <c r="L3" s="1290"/>
      <c r="M3" s="1291"/>
      <c r="N3" s="1291"/>
      <c r="O3" s="1291"/>
      <c r="P3" s="1413"/>
      <c r="Q3" s="288"/>
      <c r="R3" s="289"/>
      <c r="S3" s="1419" t="e">
        <f>INDEX(PT_DIFFERENTIATION_NUM_TER,MATCH(B3,PT_DIFFERENTIATION_TER_ID,0))</f>
        <v>#N/A</v>
      </c>
      <c r="T3" s="245" t="s">
        <v>424</v>
      </c>
      <c r="U3" s="237"/>
      <c r="V3" s="5373"/>
      <c r="W3" s="5374"/>
      <c r="X3" s="5374"/>
      <c r="Y3" s="5374"/>
      <c r="Z3" s="5374"/>
      <c r="AA3" s="5374"/>
      <c r="AB3" s="5375"/>
      <c r="AC3" s="5373" t="e">
        <f>INDEX(PT_DIFFERENTIATION_TER,MATCH(B3,PT_DIFFERENTIATION_TER_ID,0))</f>
        <v>#N/A</v>
      </c>
      <c r="AD3" s="5374"/>
      <c r="AE3" s="5374"/>
      <c r="AF3" s="5374"/>
      <c r="AG3" s="5374"/>
      <c r="AH3" s="5374"/>
      <c r="AI3" s="5374"/>
      <c r="AJ3" s="5375"/>
      <c r="AK3" s="1184" t="s">
        <v>425</v>
      </c>
      <c r="AM3" s="436"/>
      <c r="AN3" s="436" t="str">
        <f t="shared" si="0"/>
        <v>Территория действия тарифа</v>
      </c>
      <c r="AO3" s="436"/>
      <c r="AP3" s="436"/>
      <c r="AQ3" s="1081">
        <v>0</v>
      </c>
    </row>
    <row r="4" spans="1:43" ht="23.25" hidden="1" customHeight="1">
      <c r="A4" s="1289"/>
      <c r="B4" s="1289"/>
      <c r="C4" s="1289"/>
      <c r="D4" s="1289"/>
      <c r="E4" s="5382"/>
      <c r="F4" s="5382"/>
      <c r="G4" s="5381">
        <v>1</v>
      </c>
      <c r="H4" s="1289"/>
      <c r="I4" s="1289"/>
      <c r="J4" s="1289"/>
      <c r="K4" s="1289"/>
      <c r="L4" s="1290"/>
      <c r="M4" s="1291"/>
      <c r="N4" s="1291"/>
      <c r="O4" s="1291"/>
      <c r="P4" s="290"/>
      <c r="Q4" s="288"/>
      <c r="R4" s="289"/>
      <c r="S4" s="1419" t="e">
        <f>INDEX(PT_DIFFERENTIATION_NUM_CS,MATCH(C4,PT_DIFFERENTIATION_CS_ID,0))</f>
        <v>#N/A</v>
      </c>
      <c r="T4" s="246" t="s">
        <v>548</v>
      </c>
      <c r="U4" s="237"/>
      <c r="V4" s="5373"/>
      <c r="W4" s="5374"/>
      <c r="X4" s="5374"/>
      <c r="Y4" s="5374"/>
      <c r="Z4" s="5374"/>
      <c r="AA4" s="5374"/>
      <c r="AB4" s="5375"/>
      <c r="AC4" s="5373" t="e">
        <f>INDEX(PT_DIFFERENTIATION_CS,MATCH(C4,PT_DIFFERENTIATION_CS_ID,0))</f>
        <v>#N/A</v>
      </c>
      <c r="AD4" s="5374"/>
      <c r="AE4" s="5374"/>
      <c r="AF4" s="5374"/>
      <c r="AG4" s="5374"/>
      <c r="AH4" s="5374"/>
      <c r="AI4" s="5374"/>
      <c r="AJ4" s="5375"/>
      <c r="AK4" s="1184" t="s">
        <v>549</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5382"/>
      <c r="F5" s="5382"/>
      <c r="G5" s="5382"/>
      <c r="H5" s="5382"/>
      <c r="I5" s="5383" t="e">
        <f>S4&amp;".1"</f>
        <v>#N/A</v>
      </c>
      <c r="J5" s="1289"/>
      <c r="K5" s="1289"/>
      <c r="L5" s="1290"/>
      <c r="P5" s="5385">
        <v>1</v>
      </c>
      <c r="Q5" s="1407"/>
      <c r="R5" s="292"/>
      <c r="S5" s="1419" t="e">
        <f>$I5</f>
        <v>#N/A</v>
      </c>
      <c r="T5" s="222" t="s">
        <v>515</v>
      </c>
      <c r="U5" s="237"/>
      <c r="V5" s="5459"/>
      <c r="W5" s="5460"/>
      <c r="X5" s="5460"/>
      <c r="Y5" s="5460"/>
      <c r="Z5" s="5460"/>
      <c r="AA5" s="5460"/>
      <c r="AB5" s="5461"/>
      <c r="AC5" s="5462"/>
      <c r="AD5" s="5463"/>
      <c r="AE5" s="5463"/>
      <c r="AF5" s="5463"/>
      <c r="AG5" s="5463"/>
      <c r="AH5" s="5463"/>
      <c r="AI5" s="5463"/>
      <c r="AJ5" s="5464"/>
      <c r="AK5" s="1184" t="s">
        <v>516</v>
      </c>
      <c r="AM5" s="436"/>
      <c r="AN5" s="436" t="str">
        <f t="shared" si="0"/>
        <v>Наименование признака дифференциации</v>
      </c>
      <c r="AO5" s="436"/>
      <c r="AP5" s="436"/>
      <c r="AQ5" s="1081">
        <v>0</v>
      </c>
    </row>
    <row r="6" spans="1:43" ht="23.25" hidden="1" customHeight="1">
      <c r="A6" s="1289"/>
      <c r="B6" s="1289"/>
      <c r="C6" s="1289"/>
      <c r="D6" s="1289"/>
      <c r="E6" s="5382"/>
      <c r="F6" s="5382"/>
      <c r="G6" s="5382"/>
      <c r="H6" s="5382"/>
      <c r="I6" s="5384"/>
      <c r="J6" s="5383" t="e">
        <f>I5&amp;".1"</f>
        <v>#N/A</v>
      </c>
      <c r="K6" s="1289"/>
      <c r="L6" s="1290" t="s">
        <v>433</v>
      </c>
      <c r="P6" s="5385"/>
      <c r="Q6" s="5385">
        <v>1</v>
      </c>
      <c r="R6" s="293"/>
      <c r="S6" s="1419" t="e">
        <f>$J6</f>
        <v>#N/A</v>
      </c>
      <c r="T6" s="223" t="s">
        <v>434</v>
      </c>
      <c r="U6" s="237"/>
      <c r="V6" s="5366"/>
      <c r="W6" s="5367"/>
      <c r="X6" s="5367"/>
      <c r="Y6" s="5367"/>
      <c r="Z6" s="5367"/>
      <c r="AA6" s="5367"/>
      <c r="AB6" s="5368"/>
      <c r="AC6" s="5366"/>
      <c r="AD6" s="5367"/>
      <c r="AE6" s="5367"/>
      <c r="AF6" s="5367"/>
      <c r="AG6" s="5367"/>
      <c r="AH6" s="5367"/>
      <c r="AI6" s="5367"/>
      <c r="AJ6" s="5368"/>
      <c r="AK6" s="1233" t="s">
        <v>517</v>
      </c>
      <c r="AM6" s="436"/>
      <c r="AN6" s="436" t="str">
        <f t="shared" si="0"/>
        <v>Группа потребителей</v>
      </c>
      <c r="AO6" s="436"/>
      <c r="AP6" s="436"/>
      <c r="AQ6" s="1081">
        <v>0</v>
      </c>
    </row>
    <row r="7" spans="1:43" ht="23.25" hidden="1" customHeight="1">
      <c r="A7" s="1289"/>
      <c r="B7" s="1289"/>
      <c r="C7" s="1289"/>
      <c r="D7" s="1289"/>
      <c r="E7" s="5382"/>
      <c r="F7" s="5382"/>
      <c r="G7" s="5382"/>
      <c r="H7" s="5382"/>
      <c r="I7" s="5384"/>
      <c r="J7" s="5384"/>
      <c r="K7" s="5383" t="e">
        <f>J6&amp;".1"</f>
        <v>#N/A</v>
      </c>
      <c r="L7" s="1290"/>
      <c r="P7" s="5385"/>
      <c r="Q7" s="5385"/>
      <c r="R7" s="293">
        <v>1</v>
      </c>
      <c r="S7" s="1419" t="e">
        <f>$K7</f>
        <v>#N/A</v>
      </c>
      <c r="T7" s="1363"/>
      <c r="U7" s="237"/>
      <c r="V7" s="687"/>
      <c r="W7" s="687"/>
      <c r="X7" s="1183"/>
      <c r="Y7" s="5386"/>
      <c r="Z7" s="5245" t="s">
        <v>65</v>
      </c>
      <c r="AA7" s="5386"/>
      <c r="AB7" s="5245" t="s">
        <v>65</v>
      </c>
      <c r="AC7" s="687"/>
      <c r="AD7" s="687"/>
      <c r="AE7" s="1183"/>
      <c r="AF7" s="5386"/>
      <c r="AG7" s="5245" t="s">
        <v>65</v>
      </c>
      <c r="AH7" s="5388"/>
      <c r="AI7" s="5245" t="s">
        <v>65</v>
      </c>
      <c r="AJ7" s="1364"/>
      <c r="AK7"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5382"/>
      <c r="F8" s="5382"/>
      <c r="G8" s="5382"/>
      <c r="H8" s="5382"/>
      <c r="I8" s="5384"/>
      <c r="J8" s="5384"/>
      <c r="K8" s="5383"/>
      <c r="L8" s="1290"/>
      <c r="P8" s="5385"/>
      <c r="Q8" s="5385"/>
      <c r="R8" s="293"/>
      <c r="S8" s="1416"/>
      <c r="T8" s="237"/>
      <c r="U8" s="237"/>
      <c r="V8" s="262"/>
      <c r="W8" s="262"/>
      <c r="X8" s="265" t="str">
        <f>Y7&amp;"-"&amp;AA7</f>
        <v>-</v>
      </c>
      <c r="Y8" s="5387"/>
      <c r="Z8" s="5245"/>
      <c r="AA8" s="5387"/>
      <c r="AB8" s="5245"/>
      <c r="AC8" s="262"/>
      <c r="AD8" s="262"/>
      <c r="AE8" s="265" t="str">
        <f>AF7&amp;"-"&amp;AH7</f>
        <v>-</v>
      </c>
      <c r="AF8" s="5387"/>
      <c r="AG8" s="5245"/>
      <c r="AH8" s="5389"/>
      <c r="AI8" s="5245"/>
      <c r="AJ8" s="1365"/>
      <c r="AK8" s="5465"/>
      <c r="AM8" s="436"/>
      <c r="AN8" s="436" t="str">
        <f t="shared" si="0"/>
        <v/>
      </c>
      <c r="AO8" s="436"/>
      <c r="AP8" s="436"/>
      <c r="AQ8" s="1081">
        <v>0</v>
      </c>
    </row>
    <row r="9" spans="1:43" ht="21" hidden="1" customHeight="1">
      <c r="A9" s="1289"/>
      <c r="B9" s="1289"/>
      <c r="C9" s="1289"/>
      <c r="D9" s="1289"/>
      <c r="E9" s="5382"/>
      <c r="F9" s="5382"/>
      <c r="G9" s="5382"/>
      <c r="H9" s="5382"/>
      <c r="I9" s="5384"/>
      <c r="J9" s="5383"/>
      <c r="K9" s="1289"/>
      <c r="L9" s="1290"/>
      <c r="P9" s="5385"/>
      <c r="Q9" s="5385"/>
      <c r="R9" s="292"/>
      <c r="S9" s="1204"/>
      <c r="T9" s="224" t="s">
        <v>518</v>
      </c>
      <c r="U9" s="303"/>
      <c r="V9" s="303"/>
      <c r="W9" s="303"/>
      <c r="X9" s="303"/>
      <c r="Y9" s="303"/>
      <c r="Z9" s="303"/>
      <c r="AA9" s="303"/>
      <c r="AB9" s="303"/>
      <c r="AC9" s="303"/>
      <c r="AD9" s="303"/>
      <c r="AE9" s="303"/>
      <c r="AF9" s="303"/>
      <c r="AG9" s="303"/>
      <c r="AH9" s="303"/>
      <c r="AI9" s="303"/>
      <c r="AJ9" s="303"/>
      <c r="AK9" s="1184" t="s">
        <v>519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5382"/>
      <c r="F10" s="5382"/>
      <c r="G10" s="5382"/>
      <c r="H10" s="5382"/>
      <c r="I10" s="5383"/>
      <c r="J10" s="1289"/>
      <c r="K10" s="1289"/>
      <c r="L10" s="1290"/>
      <c r="P10" s="5385"/>
      <c r="Q10" s="1407"/>
      <c r="R10" s="292"/>
      <c r="S10" s="1204"/>
      <c r="T10" s="301" t="s">
        <v>439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5382"/>
      <c r="F11" s="5382"/>
      <c r="G11" s="5382"/>
      <c r="H11" s="5381"/>
      <c r="I11" s="1289"/>
      <c r="J11" s="1289"/>
      <c r="K11" s="1289"/>
      <c r="L11" s="1290"/>
      <c r="M11" s="1291"/>
      <c r="N11" s="1291"/>
      <c r="O11" s="473"/>
      <c r="P11" s="296"/>
      <c r="Q11" s="311"/>
      <c r="R11" s="291"/>
      <c r="S11" s="1204"/>
      <c r="T11" s="308" t="s">
        <v>520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5382"/>
      <c r="F12" s="5381"/>
      <c r="G12" s="1240"/>
      <c r="H12" s="1240"/>
      <c r="I12" s="1240"/>
      <c r="J12" s="1240"/>
      <c r="K12" s="1240"/>
      <c r="L12" s="1420"/>
      <c r="M12" s="1247"/>
      <c r="N12" s="1247"/>
      <c r="P12" s="1242"/>
      <c r="Q12" s="1243"/>
      <c r="R12" s="1242"/>
      <c r="S12" s="1248"/>
      <c r="T12" s="1251" t="s">
        <v>164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5381"/>
      <c r="F13" s="1269"/>
      <c r="G13" s="1269"/>
      <c r="H13" s="1269"/>
      <c r="I13" s="1269"/>
      <c r="J13" s="1269"/>
      <c r="K13" s="1269"/>
      <c r="L13" s="1272"/>
      <c r="M13" s="1247"/>
      <c r="N13" s="1247"/>
      <c r="O13" s="454"/>
      <c r="P13" s="316"/>
      <c r="Q13" s="1270"/>
      <c r="R13" s="316"/>
      <c r="S13" s="1248"/>
      <c r="T13" s="1251" t="s">
        <v>165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5378"/>
      <c r="AG15" s="5377" t="s">
        <v>65</v>
      </c>
      <c r="AH15" s="5378"/>
      <c r="AI15" s="5377" t="s">
        <v>65</v>
      </c>
      <c r="AQ15" s="1081">
        <v>0</v>
      </c>
    </row>
    <row r="16" spans="1:43" ht="14.25" hidden="1" customHeight="1">
      <c r="AC16" s="1286"/>
      <c r="AD16" s="1286"/>
      <c r="AE16" s="265" t="str">
        <f>AF15&amp;"-"&amp;AH15</f>
        <v>-</v>
      </c>
      <c r="AF16" s="5377"/>
      <c r="AG16" s="5377"/>
      <c r="AH16" s="5377"/>
      <c r="AI16" s="5377"/>
      <c r="AQ16" s="1081">
        <v>0</v>
      </c>
    </row>
    <row r="17" spans="1:43" ht="14.25" hidden="1" customHeight="1">
      <c r="AI17" s="264"/>
      <c r="AQ17" s="1081">
        <v>0</v>
      </c>
    </row>
    <row r="18" spans="1:43" s="1292" customFormat="1" ht="22.5" hidden="1" customHeight="1">
      <c r="L18" s="1404"/>
      <c r="M18" s="1288"/>
      <c r="N18" s="1288"/>
      <c r="O18" s="1293" t="s">
        <v>441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442</v>
      </c>
      <c r="P20" s="1288"/>
      <c r="Q20" s="1368"/>
      <c r="R20" s="1368"/>
      <c r="S20" s="665"/>
      <c r="T20" s="1086" t="s">
        <v>443</v>
      </c>
      <c r="Z20" s="124" t="s">
        <v>444</v>
      </c>
      <c r="AB20" s="124" t="s">
        <v>445</v>
      </c>
      <c r="AC20" s="1086" t="s">
        <v>443</v>
      </c>
      <c r="AG20" s="124" t="s">
        <v>446</v>
      </c>
      <c r="AI20" s="124" t="s">
        <v>445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535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5359"/>
      <c r="U24" s="5359"/>
      <c r="V24" s="5359"/>
      <c r="W24" s="5359"/>
      <c r="X24" s="5359"/>
      <c r="Y24" s="5359"/>
      <c r="Z24" s="5359"/>
      <c r="AA24" s="5359"/>
      <c r="AB24" s="5359"/>
      <c r="AC24" s="5359"/>
      <c r="AD24" s="5359"/>
      <c r="AE24" s="5359"/>
      <c r="AF24" s="5359"/>
      <c r="AG24" s="5359"/>
      <c r="AH24" s="5359"/>
      <c r="AI24" s="1169"/>
      <c r="AQ24" s="1081">
        <v>14</v>
      </c>
    </row>
    <row r="25" spans="1:43" ht="14.65" customHeight="1">
      <c r="Q25" s="312"/>
      <c r="R25" s="312"/>
      <c r="S25" s="5331" t="str">
        <f>IF(org=0,"Не определено",org)</f>
        <v>ПАО "ТГК-1" филиал "Невский"</v>
      </c>
      <c r="T25" s="5331"/>
      <c r="U25" s="5331"/>
      <c r="V25" s="5331"/>
      <c r="W25" s="5331"/>
      <c r="X25" s="5331"/>
      <c r="Y25" s="5331"/>
      <c r="Z25" s="5331"/>
      <c r="AA25" s="5331"/>
      <c r="AB25" s="5331"/>
      <c r="AC25" s="5331"/>
      <c r="AD25" s="5331"/>
      <c r="AE25" s="5331"/>
      <c r="AF25" s="5331"/>
      <c r="AG25" s="5331"/>
      <c r="AH25" s="5331"/>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5370" t="s">
        <v>42</v>
      </c>
      <c r="T27" s="5370"/>
      <c r="U27" s="1298"/>
      <c r="V27" s="5372" t="str">
        <f>IF(TITLE_NAME_OR_PR_CHANGE="",IF(TITLE_NAME_OR_PR="","",TITLE_NAME_OR_PR),TITLE_NAME_OR_PR_CHANGE)</f>
        <v>Комитет по тарифам Санкт-Петербурга</v>
      </c>
      <c r="W27" s="5372"/>
      <c r="X27" s="5372"/>
      <c r="Y27" s="5372"/>
      <c r="Z27" s="5372"/>
      <c r="AA27" s="5372"/>
      <c r="AB27" s="263"/>
      <c r="AC27" s="5372" t="str">
        <f>IF(TITLE_NAME_OR_PR_CHANGE="",IF(TITLE_NAME_OR_PR="","",TITLE_NAME_OR_PR),TITLE_NAME_OR_PR_CHANGE)</f>
        <v>Комитет по тарифам Санкт-Петербурга</v>
      </c>
      <c r="AD27" s="5372"/>
      <c r="AE27" s="5372"/>
      <c r="AF27" s="5372"/>
      <c r="AG27" s="5372"/>
      <c r="AH27" s="5372"/>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5370" t="s">
        <v>447</v>
      </c>
      <c r="T28" s="5370"/>
      <c r="U28" s="1298"/>
      <c r="V28" s="5371">
        <f>IF(TITLE_DATE_PR_CHANGE="",IF(TITLE_DATE_PR="","",TITLE_DATE_PR),TITLE_DATE_PR_CHANGE)</f>
        <v>45470</v>
      </c>
      <c r="W28" s="5371"/>
      <c r="X28" s="5371"/>
      <c r="Y28" s="5371"/>
      <c r="Z28" s="5371"/>
      <c r="AA28" s="5371"/>
      <c r="AB28" s="263"/>
      <c r="AC28" s="5371">
        <f>IF(TITLE_DATE_PR_CHANGE="",IF(TITLE_DATE_PR="","",TITLE_DATE_PR),TITLE_DATE_PR_CHANGE)</f>
        <v>45470</v>
      </c>
      <c r="AD28" s="5371"/>
      <c r="AE28" s="5371"/>
      <c r="AF28" s="5371"/>
      <c r="AG28" s="5371"/>
      <c r="AH28" s="5371"/>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5370" t="s">
        <v>448</v>
      </c>
      <c r="T29" s="5370"/>
      <c r="U29" s="1298"/>
      <c r="V29" s="5372" t="str">
        <f>IF(TITLE_NUMBER_PR_CHANGE="",IF(TITLE_NUMBER_PR="","",TITLE_NUMBER_PR),TITLE_NUMBER_PR_CHANGE)</f>
        <v>94-р</v>
      </c>
      <c r="W29" s="5372"/>
      <c r="X29" s="5372"/>
      <c r="Y29" s="5372"/>
      <c r="Z29" s="5372"/>
      <c r="AA29" s="5372"/>
      <c r="AB29" s="263"/>
      <c r="AC29" s="5372" t="str">
        <f>IF(TITLE_NUMBER_PR_CHANGE="",IF(TITLE_NUMBER_PR="","",TITLE_NUMBER_PR),TITLE_NUMBER_PR_CHANGE)</f>
        <v>94-р</v>
      </c>
      <c r="AD29" s="5372"/>
      <c r="AE29" s="5372"/>
      <c r="AF29" s="5372"/>
      <c r="AG29" s="5372"/>
      <c r="AH29" s="5372"/>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5370" t="s">
        <v>44</v>
      </c>
      <c r="T30" s="5370"/>
      <c r="U30" s="1298"/>
      <c r="V30" s="5372" t="str">
        <f>IF(TITLE_IST_PUB_CHANGE="",IF(TITLE_IST_PUB="","",TITLE_IST_PUB),TITLE_IST_PUB_CHANGE)</f>
        <v>http://publication.pravo.gov.ru/document/7801202407010029</v>
      </c>
      <c r="W30" s="5372"/>
      <c r="X30" s="5372"/>
      <c r="Y30" s="5372"/>
      <c r="Z30" s="5372"/>
      <c r="AA30" s="5372"/>
      <c r="AB30" s="263"/>
      <c r="AC30" s="5372" t="str">
        <f>IF(TITLE_IST_PUB_CHANGE="",IF(TITLE_IST_PUB="","",TITLE_IST_PUB),TITLE_IST_PUB_CHANGE)</f>
        <v>http://publication.pravo.gov.ru/document/7801202407010029</v>
      </c>
      <c r="AD30" s="5372"/>
      <c r="AE30" s="5372"/>
      <c r="AF30" s="5372"/>
      <c r="AG30" s="5372"/>
      <c r="AH30" s="537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5370" t="s">
        <v>449</v>
      </c>
      <c r="T32" s="5370"/>
      <c r="U32" s="1298"/>
      <c r="V32" s="5371">
        <f>IF(TITLE_DATE_PR_CHANGE="",IF(TITLE_DATE_PR="","",TITLE_DATE_PR),TITLE_DATE_PR_CHANGE)</f>
        <v>45470</v>
      </c>
      <c r="W32" s="5371"/>
      <c r="X32" s="5371"/>
      <c r="Y32" s="5371"/>
      <c r="Z32" s="5371"/>
      <c r="AA32" s="5371"/>
      <c r="AB32" s="263"/>
      <c r="AC32" s="5371">
        <f>IF(TITLE_DATE_PR_CHANGE="",IF(TITLE_DATE_PR="","",TITLE_DATE_PR),TITLE_DATE_PR_CHANGE)</f>
        <v>45470</v>
      </c>
      <c r="AD32" s="5371"/>
      <c r="AE32" s="5371"/>
      <c r="AF32" s="5371"/>
      <c r="AG32" s="5371"/>
      <c r="AH32" s="5371"/>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5370" t="s">
        <v>450</v>
      </c>
      <c r="T33" s="5370"/>
      <c r="U33" s="1298"/>
      <c r="V33" s="5372" t="str">
        <f>IF(TITLE_NUMBER_PR_CHANGE="",IF(TITLE_NUMBER_PR="","",TITLE_NUMBER_PR),TITLE_NUMBER_PR_CHANGE)</f>
        <v>94-р</v>
      </c>
      <c r="W33" s="5372"/>
      <c r="X33" s="5372"/>
      <c r="Y33" s="5372"/>
      <c r="Z33" s="5372"/>
      <c r="AA33" s="5372"/>
      <c r="AB33" s="263"/>
      <c r="AC33" s="5372" t="str">
        <f>IF(TITLE_NUMBER_PR_CHANGE="",IF(TITLE_NUMBER_PR="","",TITLE_NUMBER_PR),TITLE_NUMBER_PR_CHANGE)</f>
        <v>94-р</v>
      </c>
      <c r="AD33" s="5372"/>
      <c r="AE33" s="5372"/>
      <c r="AF33" s="5372"/>
      <c r="AG33" s="5372"/>
      <c r="AH33" s="537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451</v>
      </c>
      <c r="AC34" s="263"/>
      <c r="AD34" s="263"/>
      <c r="AE34" s="263"/>
      <c r="AF34" s="263"/>
      <c r="AG34" s="263"/>
      <c r="AH34" s="263"/>
      <c r="AI34" s="215" t="s">
        <v>451</v>
      </c>
      <c r="AL34" s="304"/>
      <c r="AM34" s="304"/>
      <c r="AN34" s="304"/>
      <c r="AO34" s="304"/>
      <c r="AP34" s="304"/>
      <c r="AQ34" s="354">
        <v>1</v>
      </c>
    </row>
    <row r="35" spans="1:43" ht="14.65" customHeight="1">
      <c r="Q35" s="312"/>
      <c r="R35" s="312"/>
      <c r="S35" s="1201"/>
      <c r="T35" s="299"/>
      <c r="U35" s="1170"/>
      <c r="V35" s="5393"/>
      <c r="W35" s="5393"/>
      <c r="X35" s="5393"/>
      <c r="Y35" s="5393"/>
      <c r="Z35" s="5393"/>
      <c r="AA35" s="5393"/>
      <c r="AB35" s="5393"/>
      <c r="AC35" s="5393"/>
      <c r="AD35" s="5393"/>
      <c r="AE35" s="5393"/>
      <c r="AF35" s="5393"/>
      <c r="AG35" s="5393"/>
      <c r="AH35" s="5393"/>
      <c r="AI35" s="5393"/>
      <c r="AQ35" s="1081">
        <v>14</v>
      </c>
    </row>
    <row r="36" spans="1:43" ht="14.65" customHeight="1">
      <c r="Q36" s="312"/>
      <c r="R36" s="312"/>
      <c r="S36" s="5235" t="s">
        <v>327</v>
      </c>
      <c r="T36" s="5235"/>
      <c r="U36" s="5235"/>
      <c r="V36" s="5235"/>
      <c r="W36" s="5235"/>
      <c r="X36" s="5235"/>
      <c r="Y36" s="5235"/>
      <c r="Z36" s="5235"/>
      <c r="AA36" s="5235"/>
      <c r="AB36" s="5235"/>
      <c r="AC36" s="5235"/>
      <c r="AD36" s="5235"/>
      <c r="AE36" s="5235"/>
      <c r="AF36" s="5235"/>
      <c r="AG36" s="5235"/>
      <c r="AH36" s="5235"/>
      <c r="AI36" s="5235"/>
      <c r="AJ36" s="5235"/>
      <c r="AK36" s="5235" t="s">
        <v>328</v>
      </c>
      <c r="AQ36" s="1081">
        <v>14</v>
      </c>
    </row>
    <row r="37" spans="1:43" ht="14.65" customHeight="1">
      <c r="Q37" s="312"/>
      <c r="R37" s="312"/>
      <c r="S37" s="5395" t="s">
        <v>90</v>
      </c>
      <c r="T37" s="5339" t="s">
        <v>452</v>
      </c>
      <c r="U37" s="238"/>
      <c r="V37" s="5396" t="s">
        <v>453</v>
      </c>
      <c r="W37" s="5397"/>
      <c r="X37" s="5397"/>
      <c r="Y37" s="5397"/>
      <c r="Z37" s="5397"/>
      <c r="AA37" s="5398"/>
      <c r="AB37" s="5399" t="s">
        <v>454</v>
      </c>
      <c r="AC37" s="5396" t="s">
        <v>453</v>
      </c>
      <c r="AD37" s="5397"/>
      <c r="AE37" s="5397"/>
      <c r="AF37" s="5397"/>
      <c r="AG37" s="5397"/>
      <c r="AH37" s="5398"/>
      <c r="AI37" s="5399" t="s">
        <v>455</v>
      </c>
      <c r="AJ37" s="5402" t="s">
        <v>456</v>
      </c>
      <c r="AK37" s="5235"/>
      <c r="AQ37" s="1081">
        <v>14</v>
      </c>
    </row>
    <row r="38" spans="1:43" ht="35.65" customHeight="1">
      <c r="Q38" s="312"/>
      <c r="R38" s="312"/>
      <c r="S38" s="5395"/>
      <c r="T38" s="5339"/>
      <c r="U38" s="960"/>
      <c r="V38" s="1409" t="s">
        <v>521</v>
      </c>
      <c r="W38" s="5217" t="s">
        <v>459</v>
      </c>
      <c r="X38" s="5216"/>
      <c r="Y38" s="5217" t="s">
        <v>460</v>
      </c>
      <c r="Z38" s="5222"/>
      <c r="AA38" s="5216"/>
      <c r="AB38" s="5400"/>
      <c r="AC38" s="1409" t="s">
        <v>521</v>
      </c>
      <c r="AD38" s="5217" t="s">
        <v>459</v>
      </c>
      <c r="AE38" s="5216"/>
      <c r="AF38" s="5217" t="s">
        <v>460</v>
      </c>
      <c r="AG38" s="5222"/>
      <c r="AH38" s="5216"/>
      <c r="AI38" s="5400"/>
      <c r="AJ38" s="5403"/>
      <c r="AK38" s="5235"/>
      <c r="AQ38" s="1081">
        <v>34</v>
      </c>
    </row>
    <row r="39" spans="1:43" ht="90.4" customHeight="1">
      <c r="A39" s="1296"/>
      <c r="B39" s="1296" t="s">
        <v>137</v>
      </c>
      <c r="C39" s="1296" t="s">
        <v>138</v>
      </c>
      <c r="D39" s="1296" t="s">
        <v>139</v>
      </c>
      <c r="E39" s="1290" t="s">
        <v>461</v>
      </c>
      <c r="F39" s="1290" t="s">
        <v>462</v>
      </c>
      <c r="G39" s="1290" t="s">
        <v>463</v>
      </c>
      <c r="H39" s="1290"/>
      <c r="I39" s="1290" t="s">
        <v>522</v>
      </c>
      <c r="J39" s="1290" t="s">
        <v>466</v>
      </c>
      <c r="K39" s="1290" t="s">
        <v>523</v>
      </c>
      <c r="L39" s="1290" t="s">
        <v>442</v>
      </c>
      <c r="Q39" s="312"/>
      <c r="R39" s="312"/>
      <c r="S39" s="5395"/>
      <c r="T39" s="5339"/>
      <c r="U39" s="239"/>
      <c r="V39" s="1409" t="s">
        <v>550</v>
      </c>
      <c r="W39" s="1148" t="s">
        <v>551</v>
      </c>
      <c r="X39" s="1148" t="s">
        <v>526</v>
      </c>
      <c r="Y39" s="1415" t="s">
        <v>470</v>
      </c>
      <c r="Z39" s="5344" t="s">
        <v>471</v>
      </c>
      <c r="AA39" s="5358"/>
      <c r="AB39" s="5401"/>
      <c r="AC39" s="1409" t="s">
        <v>550</v>
      </c>
      <c r="AD39" s="1148" t="s">
        <v>551</v>
      </c>
      <c r="AE39" s="1148" t="s">
        <v>526</v>
      </c>
      <c r="AF39" s="1415" t="s">
        <v>470</v>
      </c>
      <c r="AG39" s="5344" t="s">
        <v>471</v>
      </c>
      <c r="AH39" s="5358"/>
      <c r="AI39" s="5401"/>
      <c r="AJ39" s="5404"/>
      <c r="AK39" s="5235"/>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5392">
        <f ca="1">OFFSET(Z40,0,-1)+1</f>
        <v>7</v>
      </c>
      <c r="AA40" s="5392"/>
      <c r="AB40" s="1408">
        <f ca="1">OFFSET(AB40,0,-2)+1</f>
        <v>8</v>
      </c>
      <c r="AC40" s="1408">
        <f ca="1">OFFSET(AC40,0,-1)+1</f>
        <v>9</v>
      </c>
      <c r="AD40" s="1408">
        <f ca="1">OFFSET(AD40,0,-1)+1</f>
        <v>10</v>
      </c>
      <c r="AE40" s="1408">
        <f ca="1">OFFSET(AE40,0,-1)+1</f>
        <v>11</v>
      </c>
      <c r="AF40" s="1408">
        <f ca="1">OFFSET(AF40,0,-1)+1</f>
        <v>12</v>
      </c>
      <c r="AG40" s="5392">
        <f ca="1">OFFSET(AG40,0,-1)+1</f>
        <v>13</v>
      </c>
      <c r="AH40" s="5392"/>
      <c r="AI40" s="1408">
        <f ca="1">OFFSET(AI40,0,-2)+1</f>
        <v>14</v>
      </c>
      <c r="AJ40" s="1171">
        <f ca="1">OFFSET(AJ40,0,-1)</f>
        <v>14</v>
      </c>
      <c r="AK40" s="1408">
        <f ca="1">OFFSET(AK40,0,-1)+1</f>
        <v>15</v>
      </c>
      <c r="AL40" s="447"/>
      <c r="AM40" s="447"/>
      <c r="AN40" s="447"/>
      <c r="AO40" s="447"/>
      <c r="AP40" s="447"/>
      <c r="AQ40" s="432">
        <v>0</v>
      </c>
    </row>
    <row r="41" spans="1:43" ht="24" customHeight="1">
      <c r="A41" s="1289" t="s">
        <v>293</v>
      </c>
      <c r="B41" s="1289"/>
      <c r="C41" s="1289"/>
      <c r="D41" s="1289"/>
      <c r="E41" s="5381">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5373"/>
      <c r="W41" s="5374"/>
      <c r="X41" s="5374"/>
      <c r="Y41" s="5374"/>
      <c r="Z41" s="5374"/>
      <c r="AA41" s="5374"/>
      <c r="AB41" s="5375"/>
      <c r="AC41" s="5373" t="str">
        <f>INDEX(PT_DIFFERENTIATION_NTAR,MATCH(A41,PT_DIFFERENTIATION_NTAR_ID,0))</f>
        <v/>
      </c>
      <c r="AD41" s="5374"/>
      <c r="AE41" s="5374"/>
      <c r="AF41" s="5374"/>
      <c r="AG41" s="5374"/>
      <c r="AH41" s="5374"/>
      <c r="AI41" s="5374"/>
      <c r="AJ41" s="53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293</v>
      </c>
      <c r="B42" s="1289" t="s">
        <v>294</v>
      </c>
      <c r="C42" s="1289"/>
      <c r="D42" s="1289"/>
      <c r="E42" s="5382"/>
      <c r="F42" s="5381">
        <v>1</v>
      </c>
      <c r="G42" s="1289"/>
      <c r="H42" s="1289"/>
      <c r="I42" s="1289"/>
      <c r="J42" s="1289"/>
      <c r="K42" s="1289"/>
      <c r="L42" s="1290"/>
      <c r="M42" s="1291"/>
      <c r="N42" s="1291"/>
      <c r="O42" s="1291"/>
      <c r="P42" s="1413"/>
      <c r="Q42" s="288"/>
      <c r="R42" s="289"/>
      <c r="S42" s="1419" t="str">
        <f>INDEX(PT_DIFFERENTIATION_NUM_TER,MATCH(B42,PT_DIFFERENTIATION_TER_ID,0))</f>
        <v>.</v>
      </c>
      <c r="T42" s="245" t="s">
        <v>424</v>
      </c>
      <c r="U42" s="237"/>
      <c r="V42" s="5373"/>
      <c r="W42" s="5374"/>
      <c r="X42" s="5374"/>
      <c r="Y42" s="5374"/>
      <c r="Z42" s="5374"/>
      <c r="AA42" s="5374"/>
      <c r="AB42" s="5375"/>
      <c r="AC42" s="5373" t="str">
        <f>INDEX(PT_DIFFERENTIATION_TER,MATCH(B42,PT_DIFFERENTIATION_TER_ID,0))</f>
        <v/>
      </c>
      <c r="AD42" s="5374"/>
      <c r="AE42" s="5374"/>
      <c r="AF42" s="5374"/>
      <c r="AG42" s="5374"/>
      <c r="AH42" s="5374"/>
      <c r="AI42" s="5374"/>
      <c r="AJ42" s="5375"/>
      <c r="AK42" s="1184" t="s">
        <v>425</v>
      </c>
      <c r="AM42" s="436"/>
      <c r="AN42" s="436" t="str">
        <f t="shared" si="1"/>
        <v>Территория действия тарифа</v>
      </c>
      <c r="AO42" s="436"/>
      <c r="AP42" s="436"/>
      <c r="AQ42" s="1081">
        <v>23</v>
      </c>
    </row>
    <row r="43" spans="1:43" ht="24" customHeight="1">
      <c r="A43" s="1289" t="s">
        <v>293</v>
      </c>
      <c r="B43" s="1289" t="s">
        <v>294</v>
      </c>
      <c r="C43" s="1289" t="s">
        <v>295</v>
      </c>
      <c r="D43" s="1289"/>
      <c r="E43" s="5382"/>
      <c r="F43" s="5382"/>
      <c r="G43" s="5381">
        <v>1</v>
      </c>
      <c r="H43" s="1289"/>
      <c r="I43" s="1289"/>
      <c r="J43" s="1289"/>
      <c r="K43" s="1289"/>
      <c r="L43" s="1290"/>
      <c r="M43" s="1291"/>
      <c r="N43" s="1291"/>
      <c r="O43" s="1291"/>
      <c r="P43" s="290"/>
      <c r="Q43" s="288"/>
      <c r="R43" s="289"/>
      <c r="S43" s="1419" t="str">
        <f>INDEX(PT_DIFFERENTIATION_NUM_CS,MATCH(C43,PT_DIFFERENTIATION_CS_ID,0))</f>
        <v>..</v>
      </c>
      <c r="T43" s="246" t="s">
        <v>548</v>
      </c>
      <c r="U43" s="237"/>
      <c r="V43" s="5373"/>
      <c r="W43" s="5374"/>
      <c r="X43" s="5374"/>
      <c r="Y43" s="5374"/>
      <c r="Z43" s="5374"/>
      <c r="AA43" s="5374"/>
      <c r="AB43" s="5375"/>
      <c r="AC43" s="5373" t="str">
        <f>INDEX(PT_DIFFERENTIATION_CS,MATCH(C43,PT_DIFFERENTIATION_CS_ID,0))</f>
        <v/>
      </c>
      <c r="AD43" s="5374"/>
      <c r="AE43" s="5374"/>
      <c r="AF43" s="5374"/>
      <c r="AG43" s="5374"/>
      <c r="AH43" s="5374"/>
      <c r="AI43" s="5374"/>
      <c r="AJ43" s="5375"/>
      <c r="AK43" s="1184" t="s">
        <v>549</v>
      </c>
      <c r="AM43" s="436"/>
      <c r="AN43" s="436" t="str">
        <f t="shared" si="1"/>
        <v>Наименование централизованной системы водоотведения</v>
      </c>
      <c r="AO43" s="436"/>
      <c r="AP43" s="436"/>
      <c r="AQ43" s="1081">
        <v>23</v>
      </c>
    </row>
    <row r="44" spans="1:43" ht="24" customHeight="1">
      <c r="A44" s="1289" t="s">
        <v>293</v>
      </c>
      <c r="B44" s="1289" t="s">
        <v>294</v>
      </c>
      <c r="C44" s="1289" t="s">
        <v>295</v>
      </c>
      <c r="D44" s="1289" t="s">
        <v>552</v>
      </c>
      <c r="E44" s="5382"/>
      <c r="F44" s="5382"/>
      <c r="G44" s="5382"/>
      <c r="H44" s="5382"/>
      <c r="I44" s="5383" t="str">
        <f>S43&amp;".1"</f>
        <v>...1</v>
      </c>
      <c r="J44" s="1289"/>
      <c r="K44" s="1289"/>
      <c r="L44" s="1290"/>
      <c r="P44" s="5385">
        <v>1</v>
      </c>
      <c r="Q44" s="1407"/>
      <c r="R44" s="292"/>
      <c r="S44" s="1419" t="str">
        <f>$I44</f>
        <v>...1</v>
      </c>
      <c r="T44" s="222" t="s">
        <v>515</v>
      </c>
      <c r="U44" s="237"/>
      <c r="V44" s="5459"/>
      <c r="W44" s="5460"/>
      <c r="X44" s="5460"/>
      <c r="Y44" s="5460"/>
      <c r="Z44" s="5460"/>
      <c r="AA44" s="5460"/>
      <c r="AB44" s="5461"/>
      <c r="AC44" s="5462"/>
      <c r="AD44" s="5463"/>
      <c r="AE44" s="5463"/>
      <c r="AF44" s="5463"/>
      <c r="AG44" s="5463"/>
      <c r="AH44" s="5463"/>
      <c r="AI44" s="5463"/>
      <c r="AJ44" s="5464"/>
      <c r="AK44" s="1184" t="s">
        <v>516</v>
      </c>
      <c r="AM44" s="436"/>
      <c r="AN44" s="436" t="str">
        <f t="shared" si="1"/>
        <v>Наименование признака дифференциации</v>
      </c>
      <c r="AO44" s="436"/>
      <c r="AP44" s="436"/>
      <c r="AQ44" s="1081">
        <v>23</v>
      </c>
    </row>
    <row r="45" spans="1:43" ht="24" customHeight="1">
      <c r="A45" s="1289" t="s">
        <v>293</v>
      </c>
      <c r="B45" s="1289" t="s">
        <v>294</v>
      </c>
      <c r="C45" s="1289" t="s">
        <v>295</v>
      </c>
      <c r="D45" s="1289" t="s">
        <v>552</v>
      </c>
      <c r="E45" s="5382"/>
      <c r="F45" s="5382"/>
      <c r="G45" s="5382"/>
      <c r="H45" s="5382"/>
      <c r="I45" s="5384"/>
      <c r="J45" s="5383" t="str">
        <f>I44&amp;".1"</f>
        <v>...1.1</v>
      </c>
      <c r="K45" s="1289"/>
      <c r="L45" s="1290" t="s">
        <v>433</v>
      </c>
      <c r="P45" s="5385"/>
      <c r="Q45" s="5385">
        <v>1</v>
      </c>
      <c r="R45" s="293"/>
      <c r="S45" s="1419" t="str">
        <f>$J45</f>
        <v>...1.1</v>
      </c>
      <c r="T45" s="223" t="s">
        <v>434</v>
      </c>
      <c r="U45" s="237"/>
      <c r="V45" s="5366"/>
      <c r="W45" s="5367"/>
      <c r="X45" s="5367"/>
      <c r="Y45" s="5367"/>
      <c r="Z45" s="5367"/>
      <c r="AA45" s="5367"/>
      <c r="AB45" s="5368"/>
      <c r="AC45" s="5366"/>
      <c r="AD45" s="5367"/>
      <c r="AE45" s="5367"/>
      <c r="AF45" s="5367"/>
      <c r="AG45" s="5367"/>
      <c r="AH45" s="5367"/>
      <c r="AI45" s="5367"/>
      <c r="AJ45" s="5368"/>
      <c r="AK45" s="1233" t="s">
        <v>517</v>
      </c>
      <c r="AM45" s="436"/>
      <c r="AN45" s="436" t="str">
        <f t="shared" si="1"/>
        <v>Группа потребителей</v>
      </c>
      <c r="AO45" s="436"/>
      <c r="AP45" s="436"/>
      <c r="AQ45" s="1081">
        <v>23</v>
      </c>
    </row>
    <row r="46" spans="1:43" ht="24" customHeight="1">
      <c r="A46" s="1289" t="s">
        <v>293</v>
      </c>
      <c r="B46" s="1289" t="s">
        <v>294</v>
      </c>
      <c r="C46" s="1289" t="s">
        <v>295</v>
      </c>
      <c r="D46" s="1289" t="s">
        <v>552</v>
      </c>
      <c r="E46" s="5382"/>
      <c r="F46" s="5382"/>
      <c r="G46" s="5382"/>
      <c r="H46" s="5382"/>
      <c r="I46" s="5384"/>
      <c r="J46" s="5384"/>
      <c r="K46" s="5383" t="str">
        <f>J45&amp;".1"</f>
        <v>...1.1.1</v>
      </c>
      <c r="L46" s="1290"/>
      <c r="P46" s="5385"/>
      <c r="Q46" s="5385"/>
      <c r="R46" s="293">
        <v>1</v>
      </c>
      <c r="S46" s="1419" t="str">
        <f>$K46</f>
        <v>...1.1.1</v>
      </c>
      <c r="T46" s="1363"/>
      <c r="U46" s="237"/>
      <c r="V46" s="1286"/>
      <c r="W46" s="1286"/>
      <c r="X46" s="1287"/>
      <c r="Y46" s="5378"/>
      <c r="Z46" s="5377" t="s">
        <v>65</v>
      </c>
      <c r="AA46" s="5378"/>
      <c r="AB46" s="5377" t="s">
        <v>65</v>
      </c>
      <c r="AC46" s="687"/>
      <c r="AD46" s="687"/>
      <c r="AE46" s="1183"/>
      <c r="AF46" s="5386"/>
      <c r="AG46" s="5245" t="s">
        <v>65</v>
      </c>
      <c r="AH46" s="5388"/>
      <c r="AI46" s="5245" t="s">
        <v>19</v>
      </c>
      <c r="AJ46" s="1364"/>
      <c r="AK46"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293</v>
      </c>
      <c r="B47" s="1289" t="s">
        <v>294</v>
      </c>
      <c r="C47" s="1289" t="s">
        <v>295</v>
      </c>
      <c r="D47" s="1289" t="s">
        <v>552</v>
      </c>
      <c r="E47" s="5382"/>
      <c r="F47" s="5382"/>
      <c r="G47" s="5382"/>
      <c r="H47" s="5382"/>
      <c r="I47" s="5384"/>
      <c r="J47" s="5384"/>
      <c r="K47" s="5383"/>
      <c r="L47" s="1290"/>
      <c r="P47" s="5385"/>
      <c r="Q47" s="5385"/>
      <c r="R47" s="293"/>
      <c r="S47" s="1416"/>
      <c r="T47" s="237"/>
      <c r="U47" s="237"/>
      <c r="V47" s="1286"/>
      <c r="W47" s="1286"/>
      <c r="X47" s="265" t="str">
        <f>Y46&amp;"-"&amp;AA46</f>
        <v>-</v>
      </c>
      <c r="Y47" s="5377"/>
      <c r="Z47" s="5377"/>
      <c r="AA47" s="5377"/>
      <c r="AB47" s="5377"/>
      <c r="AC47" s="262"/>
      <c r="AD47" s="262"/>
      <c r="AE47" s="265" t="str">
        <f>AF46&amp;"-"&amp;AH46</f>
        <v>-</v>
      </c>
      <c r="AF47" s="5387"/>
      <c r="AG47" s="5245"/>
      <c r="AH47" s="5389"/>
      <c r="AI47" s="5245"/>
      <c r="AJ47" s="1365"/>
      <c r="AK47" s="5465"/>
      <c r="AM47" s="436"/>
      <c r="AN47" s="436" t="str">
        <f t="shared" si="1"/>
        <v/>
      </c>
      <c r="AO47" s="436"/>
      <c r="AP47" s="436"/>
      <c r="AQ47" s="1081">
        <v>0</v>
      </c>
    </row>
    <row r="48" spans="1:43" ht="21" customHeight="1">
      <c r="A48" s="1289" t="s">
        <v>293</v>
      </c>
      <c r="B48" s="1289" t="s">
        <v>294</v>
      </c>
      <c r="C48" s="1289" t="s">
        <v>295</v>
      </c>
      <c r="D48" s="1289" t="s">
        <v>552</v>
      </c>
      <c r="E48" s="5382"/>
      <c r="F48" s="5382"/>
      <c r="G48" s="5382"/>
      <c r="H48" s="5382"/>
      <c r="I48" s="5384"/>
      <c r="J48" s="5383"/>
      <c r="K48" s="1289"/>
      <c r="L48" s="1290"/>
      <c r="P48" s="5385"/>
      <c r="Q48" s="5385"/>
      <c r="R48" s="292"/>
      <c r="S48" s="1204"/>
      <c r="T48" s="224" t="s">
        <v>518</v>
      </c>
      <c r="U48" s="303"/>
      <c r="V48" s="303"/>
      <c r="W48" s="303"/>
      <c r="X48" s="303"/>
      <c r="Y48" s="303"/>
      <c r="Z48" s="303"/>
      <c r="AA48" s="303"/>
      <c r="AB48" s="303"/>
      <c r="AC48" s="303"/>
      <c r="AD48" s="303"/>
      <c r="AE48" s="303"/>
      <c r="AF48" s="303"/>
      <c r="AG48" s="303"/>
      <c r="AH48" s="303"/>
      <c r="AI48" s="303"/>
      <c r="AJ48" s="303"/>
      <c r="AK48" s="1184" t="s">
        <v>519</v>
      </c>
      <c r="AM48" s="436"/>
      <c r="AN48" s="436" t="str">
        <f t="shared" si="1"/>
        <v>Добавить значение признака дифференциации</v>
      </c>
      <c r="AO48" s="436"/>
      <c r="AP48" s="436"/>
      <c r="AQ48" s="1081">
        <v>20</v>
      </c>
    </row>
    <row r="49" spans="1:43" ht="21.95" customHeight="1">
      <c r="A49" s="1289" t="s">
        <v>293</v>
      </c>
      <c r="B49" s="1289" t="s">
        <v>294</v>
      </c>
      <c r="C49" s="1289" t="s">
        <v>295</v>
      </c>
      <c r="D49" s="1289" t="s">
        <v>552</v>
      </c>
      <c r="E49" s="5382"/>
      <c r="F49" s="5382"/>
      <c r="G49" s="5382"/>
      <c r="H49" s="5382"/>
      <c r="I49" s="5383"/>
      <c r="J49" s="1289"/>
      <c r="K49" s="1289"/>
      <c r="L49" s="1290"/>
      <c r="P49" s="5385"/>
      <c r="Q49" s="1407"/>
      <c r="R49" s="292"/>
      <c r="S49" s="1204"/>
      <c r="T49" s="301" t="s">
        <v>439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293</v>
      </c>
      <c r="B50" s="1289" t="s">
        <v>294</v>
      </c>
      <c r="C50" s="1289" t="s">
        <v>295</v>
      </c>
      <c r="D50" s="1289" t="s">
        <v>552</v>
      </c>
      <c r="E50" s="5382"/>
      <c r="F50" s="5382"/>
      <c r="G50" s="5382"/>
      <c r="H50" s="5381"/>
      <c r="I50" s="1289"/>
      <c r="J50" s="1289"/>
      <c r="K50" s="1289"/>
      <c r="L50" s="1290"/>
      <c r="M50" s="1291"/>
      <c r="N50" s="1291"/>
      <c r="O50" s="473"/>
      <c r="P50" s="296"/>
      <c r="Q50" s="311"/>
      <c r="R50" s="291"/>
      <c r="S50" s="1204"/>
      <c r="T50" s="308" t="s">
        <v>520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293</v>
      </c>
      <c r="B51" s="1269" t="s">
        <v>294</v>
      </c>
      <c r="C51" s="1240"/>
      <c r="D51" s="1240"/>
      <c r="E51" s="5382"/>
      <c r="F51" s="5381"/>
      <c r="G51" s="1240"/>
      <c r="H51" s="1240"/>
      <c r="I51" s="1240"/>
      <c r="J51" s="1240"/>
      <c r="K51" s="1240"/>
      <c r="L51" s="1420"/>
      <c r="M51" s="1247"/>
      <c r="N51" s="1247"/>
      <c r="P51" s="1242"/>
      <c r="Q51" s="1243"/>
      <c r="R51" s="1242"/>
      <c r="S51" s="1248"/>
      <c r="T51" s="1251" t="s">
        <v>164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293</v>
      </c>
      <c r="B52" s="1269"/>
      <c r="C52" s="1269"/>
      <c r="D52" s="1269"/>
      <c r="E52" s="5381"/>
      <c r="F52" s="1269"/>
      <c r="G52" s="1269"/>
      <c r="H52" s="1269"/>
      <c r="I52" s="1269"/>
      <c r="J52" s="1269"/>
      <c r="K52" s="1269"/>
      <c r="L52" s="1272"/>
      <c r="M52" s="1247"/>
      <c r="N52" s="1247"/>
      <c r="O52" s="454"/>
      <c r="P52" s="316"/>
      <c r="Q52" s="1270"/>
      <c r="R52" s="316"/>
      <c r="S52" s="1248"/>
      <c r="T52" s="1251" t="s">
        <v>165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182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5379"/>
      <c r="U55" s="5379"/>
      <c r="V55" s="5379"/>
      <c r="W55" s="5379"/>
      <c r="X55" s="5379"/>
      <c r="Y55" s="5379"/>
      <c r="Z55" s="5379"/>
      <c r="AA55" s="5379"/>
      <c r="AB55" s="5379"/>
      <c r="AC55" s="5379"/>
      <c r="AD55" s="5379"/>
      <c r="AE55" s="5379"/>
      <c r="AF55" s="5379"/>
      <c r="AG55" s="5379"/>
      <c r="AH55" s="5379"/>
      <c r="AI55" s="5379"/>
      <c r="AJ55" s="5379"/>
      <c r="AK55" s="5379"/>
      <c r="AQ55" s="1081">
        <v>14</v>
      </c>
    </row>
    <row r="56" spans="1:43" ht="14.65" customHeight="1">
      <c r="O56" s="473"/>
      <c r="AQ56" s="1081">
        <v>14</v>
      </c>
    </row>
    <row r="57" spans="1:43" ht="14.65" customHeight="1">
      <c r="O57" s="473"/>
      <c r="S57" s="1179"/>
      <c r="T57" s="5379"/>
      <c r="U57" s="5379"/>
      <c r="V57" s="5379"/>
      <c r="W57" s="5379"/>
      <c r="X57" s="5379"/>
      <c r="Y57" s="5379"/>
      <c r="Z57" s="5379"/>
      <c r="AA57" s="5379"/>
      <c r="AB57" s="5379"/>
      <c r="AC57" s="5379"/>
      <c r="AD57" s="5379"/>
      <c r="AE57" s="5379"/>
      <c r="AF57" s="5379"/>
      <c r="AG57" s="5379"/>
      <c r="AH57" s="5379"/>
      <c r="AI57" s="5379"/>
      <c r="AJ57" s="5379"/>
      <c r="AK57" s="5379"/>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5381">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5373"/>
      <c r="W2" s="5374"/>
      <c r="X2" s="5374"/>
      <c r="Y2" s="5374"/>
      <c r="Z2" s="5374"/>
      <c r="AA2" s="5374"/>
      <c r="AB2" s="5375"/>
      <c r="AC2" s="5373" t="e">
        <f>INDEX(PT_DIFFERENTIATION_NTAR,MATCH(A2,PT_DIFFERENTIATION_NTAR_ID,0))</f>
        <v>#N/A</v>
      </c>
      <c r="AD2" s="5374"/>
      <c r="AE2" s="5374"/>
      <c r="AF2" s="5374"/>
      <c r="AG2" s="5374"/>
      <c r="AH2" s="5374"/>
      <c r="AI2" s="5374"/>
      <c r="AJ2" s="537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5382"/>
      <c r="F3" s="5381">
        <v>1</v>
      </c>
      <c r="G3" s="1289"/>
      <c r="H3" s="1289"/>
      <c r="I3" s="1289"/>
      <c r="J3" s="1289"/>
      <c r="K3" s="1289"/>
      <c r="L3" s="1290"/>
      <c r="M3" s="1291"/>
      <c r="N3" s="1291"/>
      <c r="O3" s="1291"/>
      <c r="P3" s="1413"/>
      <c r="Q3" s="288"/>
      <c r="R3" s="289"/>
      <c r="S3" s="1419" t="e">
        <f>INDEX(PT_DIFFERENTIATION_NUM_TER,MATCH(B3,PT_DIFFERENTIATION_TER_ID,0))</f>
        <v>#N/A</v>
      </c>
      <c r="T3" s="245" t="s">
        <v>424</v>
      </c>
      <c r="U3" s="237"/>
      <c r="V3" s="5373"/>
      <c r="W3" s="5374"/>
      <c r="X3" s="5374"/>
      <c r="Y3" s="5374"/>
      <c r="Z3" s="5374"/>
      <c r="AA3" s="5374"/>
      <c r="AB3" s="5375"/>
      <c r="AC3" s="5373" t="e">
        <f>INDEX(PT_DIFFERENTIATION_TER,MATCH(B3,PT_DIFFERENTIATION_TER_ID,0))</f>
        <v>#N/A</v>
      </c>
      <c r="AD3" s="5374"/>
      <c r="AE3" s="5374"/>
      <c r="AF3" s="5374"/>
      <c r="AG3" s="5374"/>
      <c r="AH3" s="5374"/>
      <c r="AI3" s="5374"/>
      <c r="AJ3" s="5375"/>
      <c r="AK3" s="1184" t="s">
        <v>425</v>
      </c>
      <c r="AM3" s="436"/>
      <c r="AN3" s="436" t="str">
        <f t="shared" si="0"/>
        <v>Территория действия тарифа</v>
      </c>
      <c r="AO3" s="436"/>
      <c r="AP3" s="436"/>
      <c r="AQ3" s="1081">
        <v>0</v>
      </c>
    </row>
    <row r="4" spans="1:43" ht="23.25" hidden="1" customHeight="1">
      <c r="A4" s="1289"/>
      <c r="B4" s="1289"/>
      <c r="C4" s="1289"/>
      <c r="D4" s="1289"/>
      <c r="E4" s="5382"/>
      <c r="F4" s="5382"/>
      <c r="G4" s="5381">
        <v>1</v>
      </c>
      <c r="H4" s="1289"/>
      <c r="I4" s="1289"/>
      <c r="J4" s="1289"/>
      <c r="K4" s="1289"/>
      <c r="L4" s="1290"/>
      <c r="M4" s="1291"/>
      <c r="N4" s="1291"/>
      <c r="O4" s="1291"/>
      <c r="P4" s="290"/>
      <c r="Q4" s="288"/>
      <c r="R4" s="289"/>
      <c r="S4" s="1419" t="e">
        <f>INDEX(PT_DIFFERENTIATION_NUM_CS,MATCH(C4,PT_DIFFERENTIATION_CS_ID,0))</f>
        <v>#N/A</v>
      </c>
      <c r="T4" s="246" t="s">
        <v>548</v>
      </c>
      <c r="U4" s="237"/>
      <c r="V4" s="5373"/>
      <c r="W4" s="5374"/>
      <c r="X4" s="5374"/>
      <c r="Y4" s="5374"/>
      <c r="Z4" s="5374"/>
      <c r="AA4" s="5374"/>
      <c r="AB4" s="5375"/>
      <c r="AC4" s="5373" t="e">
        <f>INDEX(PT_DIFFERENTIATION_CS,MATCH(C4,PT_DIFFERENTIATION_CS_ID,0))</f>
        <v>#N/A</v>
      </c>
      <c r="AD4" s="5374"/>
      <c r="AE4" s="5374"/>
      <c r="AF4" s="5374"/>
      <c r="AG4" s="5374"/>
      <c r="AH4" s="5374"/>
      <c r="AI4" s="5374"/>
      <c r="AJ4" s="5375"/>
      <c r="AK4" s="1184" t="s">
        <v>549</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5382"/>
      <c r="F5" s="5382"/>
      <c r="G5" s="5382"/>
      <c r="H5" s="5382"/>
      <c r="I5" s="5383" t="e">
        <f>S4&amp;".1"</f>
        <v>#N/A</v>
      </c>
      <c r="J5" s="1289"/>
      <c r="K5" s="1289"/>
      <c r="L5" s="1290"/>
      <c r="P5" s="5385">
        <v>1</v>
      </c>
      <c r="Q5" s="1407"/>
      <c r="R5" s="292"/>
      <c r="S5" s="1419" t="e">
        <f>$I5</f>
        <v>#N/A</v>
      </c>
      <c r="T5" s="222" t="s">
        <v>515</v>
      </c>
      <c r="U5" s="237"/>
      <c r="V5" s="5459"/>
      <c r="W5" s="5460"/>
      <c r="X5" s="5460"/>
      <c r="Y5" s="5460"/>
      <c r="Z5" s="5460"/>
      <c r="AA5" s="5460"/>
      <c r="AB5" s="5461"/>
      <c r="AC5" s="5462"/>
      <c r="AD5" s="5463"/>
      <c r="AE5" s="5463"/>
      <c r="AF5" s="5463"/>
      <c r="AG5" s="5463"/>
      <c r="AH5" s="5463"/>
      <c r="AI5" s="5463"/>
      <c r="AJ5" s="5464"/>
      <c r="AK5" s="1184" t="s">
        <v>516</v>
      </c>
      <c r="AM5" s="436"/>
      <c r="AN5" s="436" t="str">
        <f t="shared" si="0"/>
        <v>Наименование признака дифференциации</v>
      </c>
      <c r="AO5" s="436"/>
      <c r="AP5" s="436"/>
      <c r="AQ5" s="1081">
        <v>0</v>
      </c>
    </row>
    <row r="6" spans="1:43" ht="23.25" hidden="1" customHeight="1">
      <c r="A6" s="1289"/>
      <c r="B6" s="1289"/>
      <c r="C6" s="1289"/>
      <c r="D6" s="1289"/>
      <c r="E6" s="5382"/>
      <c r="F6" s="5382"/>
      <c r="G6" s="5382"/>
      <c r="H6" s="5382"/>
      <c r="I6" s="5384"/>
      <c r="J6" s="5383" t="e">
        <f>I5&amp;".1"</f>
        <v>#N/A</v>
      </c>
      <c r="K6" s="1289"/>
      <c r="L6" s="1290" t="s">
        <v>433</v>
      </c>
      <c r="P6" s="5385"/>
      <c r="Q6" s="5385">
        <v>1</v>
      </c>
      <c r="R6" s="293"/>
      <c r="S6" s="1419" t="e">
        <f>$J6</f>
        <v>#N/A</v>
      </c>
      <c r="T6" s="223" t="s">
        <v>434</v>
      </c>
      <c r="U6" s="237"/>
      <c r="V6" s="5366"/>
      <c r="W6" s="5367"/>
      <c r="X6" s="5367"/>
      <c r="Y6" s="5367"/>
      <c r="Z6" s="5367"/>
      <c r="AA6" s="5367"/>
      <c r="AB6" s="5368"/>
      <c r="AC6" s="5366"/>
      <c r="AD6" s="5367"/>
      <c r="AE6" s="5367"/>
      <c r="AF6" s="5367"/>
      <c r="AG6" s="5367"/>
      <c r="AH6" s="5367"/>
      <c r="AI6" s="5367"/>
      <c r="AJ6" s="5368"/>
      <c r="AK6" s="1233" t="s">
        <v>517</v>
      </c>
      <c r="AM6" s="436"/>
      <c r="AN6" s="436" t="str">
        <f t="shared" si="0"/>
        <v>Группа потребителей</v>
      </c>
      <c r="AO6" s="436"/>
      <c r="AP6" s="436"/>
      <c r="AQ6" s="1081">
        <v>0</v>
      </c>
    </row>
    <row r="7" spans="1:43" ht="23.25" hidden="1" customHeight="1">
      <c r="A7" s="1289"/>
      <c r="B7" s="1289"/>
      <c r="C7" s="1289"/>
      <c r="D7" s="1289"/>
      <c r="E7" s="5382"/>
      <c r="F7" s="5382"/>
      <c r="G7" s="5382"/>
      <c r="H7" s="5382"/>
      <c r="I7" s="5384"/>
      <c r="J7" s="5384"/>
      <c r="K7" s="5383" t="e">
        <f>J6&amp;".1"</f>
        <v>#N/A</v>
      </c>
      <c r="L7" s="1290"/>
      <c r="P7" s="5385"/>
      <c r="Q7" s="5385"/>
      <c r="R7" s="293">
        <v>1</v>
      </c>
      <c r="S7" s="1419" t="e">
        <f>$K7</f>
        <v>#N/A</v>
      </c>
      <c r="T7" s="1363"/>
      <c r="U7" s="237"/>
      <c r="V7" s="687"/>
      <c r="W7" s="687"/>
      <c r="X7" s="1183"/>
      <c r="Y7" s="5386"/>
      <c r="Z7" s="5245" t="s">
        <v>65</v>
      </c>
      <c r="AA7" s="5386"/>
      <c r="AB7" s="5245" t="s">
        <v>65</v>
      </c>
      <c r="AC7" s="687"/>
      <c r="AD7" s="687"/>
      <c r="AE7" s="1183"/>
      <c r="AF7" s="5386"/>
      <c r="AG7" s="5245" t="s">
        <v>65</v>
      </c>
      <c r="AH7" s="5388"/>
      <c r="AI7" s="5245" t="s">
        <v>65</v>
      </c>
      <c r="AJ7" s="1364"/>
      <c r="AK7"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5382"/>
      <c r="F8" s="5382"/>
      <c r="G8" s="5382"/>
      <c r="H8" s="5382"/>
      <c r="I8" s="5384"/>
      <c r="J8" s="5384"/>
      <c r="K8" s="5383"/>
      <c r="L8" s="1290"/>
      <c r="P8" s="5385"/>
      <c r="Q8" s="5385"/>
      <c r="R8" s="293"/>
      <c r="S8" s="1416"/>
      <c r="T8" s="237"/>
      <c r="U8" s="237"/>
      <c r="V8" s="262"/>
      <c r="W8" s="262"/>
      <c r="X8" s="265" t="str">
        <f>Y7&amp;"-"&amp;AA7</f>
        <v>-</v>
      </c>
      <c r="Y8" s="5387"/>
      <c r="Z8" s="5245"/>
      <c r="AA8" s="5387"/>
      <c r="AB8" s="5245"/>
      <c r="AC8" s="262"/>
      <c r="AD8" s="262"/>
      <c r="AE8" s="265" t="str">
        <f>AF7&amp;"-"&amp;AH7</f>
        <v>-</v>
      </c>
      <c r="AF8" s="5387"/>
      <c r="AG8" s="5245"/>
      <c r="AH8" s="5389"/>
      <c r="AI8" s="5245"/>
      <c r="AJ8" s="1365"/>
      <c r="AK8" s="5465"/>
      <c r="AM8" s="436"/>
      <c r="AN8" s="436" t="str">
        <f t="shared" si="0"/>
        <v/>
      </c>
      <c r="AO8" s="436"/>
      <c r="AP8" s="436"/>
      <c r="AQ8" s="1081">
        <v>0</v>
      </c>
    </row>
    <row r="9" spans="1:43" ht="21" hidden="1" customHeight="1">
      <c r="A9" s="1289"/>
      <c r="B9" s="1289"/>
      <c r="C9" s="1289"/>
      <c r="D9" s="1289"/>
      <c r="E9" s="5382"/>
      <c r="F9" s="5382"/>
      <c r="G9" s="5382"/>
      <c r="H9" s="5382"/>
      <c r="I9" s="5384"/>
      <c r="J9" s="5383"/>
      <c r="K9" s="1289"/>
      <c r="L9" s="1290"/>
      <c r="P9" s="5385"/>
      <c r="Q9" s="5385"/>
      <c r="R9" s="292"/>
      <c r="S9" s="1204"/>
      <c r="T9" s="224" t="s">
        <v>518</v>
      </c>
      <c r="U9" s="303"/>
      <c r="V9" s="303"/>
      <c r="W9" s="303"/>
      <c r="X9" s="303"/>
      <c r="Y9" s="303"/>
      <c r="Z9" s="303"/>
      <c r="AA9" s="303"/>
      <c r="AB9" s="303"/>
      <c r="AC9" s="303"/>
      <c r="AD9" s="303"/>
      <c r="AE9" s="303"/>
      <c r="AF9" s="303"/>
      <c r="AG9" s="303"/>
      <c r="AH9" s="303"/>
      <c r="AI9" s="303"/>
      <c r="AJ9" s="303"/>
      <c r="AK9" s="1184" t="s">
        <v>519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5382"/>
      <c r="F10" s="5382"/>
      <c r="G10" s="5382"/>
      <c r="H10" s="5382"/>
      <c r="I10" s="5383"/>
      <c r="J10" s="1289"/>
      <c r="K10" s="1289"/>
      <c r="L10" s="1290"/>
      <c r="P10" s="5385"/>
      <c r="Q10" s="1407"/>
      <c r="R10" s="292"/>
      <c r="S10" s="1204"/>
      <c r="T10" s="301" t="s">
        <v>439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5382"/>
      <c r="F11" s="5382"/>
      <c r="G11" s="5382"/>
      <c r="H11" s="5381"/>
      <c r="I11" s="1289"/>
      <c r="J11" s="1289"/>
      <c r="K11" s="1289"/>
      <c r="L11" s="1290"/>
      <c r="M11" s="1291"/>
      <c r="N11" s="1291"/>
      <c r="O11" s="473"/>
      <c r="P11" s="296"/>
      <c r="Q11" s="311"/>
      <c r="R11" s="291"/>
      <c r="S11" s="1204"/>
      <c r="T11" s="308" t="s">
        <v>520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5382"/>
      <c r="F12" s="5381"/>
      <c r="G12" s="1240"/>
      <c r="H12" s="1240"/>
      <c r="I12" s="1240"/>
      <c r="J12" s="1240"/>
      <c r="K12" s="1240"/>
      <c r="L12" s="1420"/>
      <c r="M12" s="1247"/>
      <c r="N12" s="1247"/>
      <c r="P12" s="1242"/>
      <c r="Q12" s="1243"/>
      <c r="R12" s="1242"/>
      <c r="S12" s="1248"/>
      <c r="T12" s="1251" t="s">
        <v>164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5381"/>
      <c r="F13" s="1269"/>
      <c r="G13" s="1269"/>
      <c r="H13" s="1269"/>
      <c r="I13" s="1269"/>
      <c r="J13" s="1269"/>
      <c r="K13" s="1269"/>
      <c r="L13" s="1272"/>
      <c r="M13" s="1247"/>
      <c r="N13" s="1247"/>
      <c r="O13" s="454"/>
      <c r="P13" s="316"/>
      <c r="Q13" s="1270"/>
      <c r="R13" s="316"/>
      <c r="S13" s="1248"/>
      <c r="T13" s="1251" t="s">
        <v>165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5378"/>
      <c r="AG15" s="5377" t="s">
        <v>65</v>
      </c>
      <c r="AH15" s="5378"/>
      <c r="AI15" s="5377" t="s">
        <v>65</v>
      </c>
      <c r="AQ15" s="1081">
        <v>0</v>
      </c>
    </row>
    <row r="16" spans="1:43" ht="14.25" hidden="1" customHeight="1">
      <c r="AC16" s="1286"/>
      <c r="AD16" s="1286"/>
      <c r="AE16" s="265" t="str">
        <f>AF15&amp;"-"&amp;AH15</f>
        <v>-</v>
      </c>
      <c r="AF16" s="5377"/>
      <c r="AG16" s="5377"/>
      <c r="AH16" s="5377"/>
      <c r="AI16" s="5377"/>
      <c r="AQ16" s="1081">
        <v>0</v>
      </c>
    </row>
    <row r="17" spans="1:43" ht="14.25" hidden="1" customHeight="1">
      <c r="AI17" s="264"/>
      <c r="AQ17" s="1081">
        <v>0</v>
      </c>
    </row>
    <row r="18" spans="1:43" s="1292" customFormat="1" ht="22.5" hidden="1" customHeight="1">
      <c r="L18" s="1404"/>
      <c r="M18" s="1288"/>
      <c r="N18" s="1288"/>
      <c r="O18" s="1293" t="s">
        <v>441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442</v>
      </c>
      <c r="P20" s="1288"/>
      <c r="Q20" s="1368"/>
      <c r="R20" s="1368"/>
      <c r="S20" s="665"/>
      <c r="T20" s="1086" t="s">
        <v>443</v>
      </c>
      <c r="Z20" s="124" t="s">
        <v>444</v>
      </c>
      <c r="AB20" s="124" t="s">
        <v>445</v>
      </c>
      <c r="AC20" s="1086" t="s">
        <v>443</v>
      </c>
      <c r="AG20" s="124" t="s">
        <v>446</v>
      </c>
      <c r="AI20" s="124" t="s">
        <v>445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535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5359"/>
      <c r="U24" s="5359"/>
      <c r="V24" s="5359"/>
      <c r="W24" s="5359"/>
      <c r="X24" s="5359"/>
      <c r="Y24" s="5359"/>
      <c r="Z24" s="5359"/>
      <c r="AA24" s="5359"/>
      <c r="AB24" s="5359"/>
      <c r="AC24" s="5359"/>
      <c r="AD24" s="5359"/>
      <c r="AE24" s="5359"/>
      <c r="AF24" s="5359"/>
      <c r="AG24" s="5359"/>
      <c r="AH24" s="5359"/>
      <c r="AI24" s="1169"/>
      <c r="AQ24" s="1081">
        <v>14</v>
      </c>
    </row>
    <row r="25" spans="1:43" ht="14.65" customHeight="1">
      <c r="Q25" s="312"/>
      <c r="R25" s="312"/>
      <c r="S25" s="5331" t="str">
        <f>IF(org=0,"Не определено",org)</f>
        <v>ПАО "ТГК-1" филиал "Невский"</v>
      </c>
      <c r="T25" s="5331"/>
      <c r="U25" s="5331"/>
      <c r="V25" s="5331"/>
      <c r="W25" s="5331"/>
      <c r="X25" s="5331"/>
      <c r="Y25" s="5331"/>
      <c r="Z25" s="5331"/>
      <c r="AA25" s="5331"/>
      <c r="AB25" s="5331"/>
      <c r="AC25" s="5331"/>
      <c r="AD25" s="5331"/>
      <c r="AE25" s="5331"/>
      <c r="AF25" s="5331"/>
      <c r="AG25" s="5331"/>
      <c r="AH25" s="5331"/>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5370" t="s">
        <v>42</v>
      </c>
      <c r="T27" s="5370"/>
      <c r="U27" s="1298"/>
      <c r="V27" s="5372" t="str">
        <f>IF(TITLE_NAME_OR_PR_CHANGE="",IF(TITLE_NAME_OR_PR="","",TITLE_NAME_OR_PR),TITLE_NAME_OR_PR_CHANGE)</f>
        <v>Комитет по тарифам Санкт-Петербурга</v>
      </c>
      <c r="W27" s="5372"/>
      <c r="X27" s="5372"/>
      <c r="Y27" s="5372"/>
      <c r="Z27" s="5372"/>
      <c r="AA27" s="5372"/>
      <c r="AB27" s="263"/>
      <c r="AC27" s="5372" t="str">
        <f>IF(TITLE_NAME_OR_PR_CHANGE="",IF(TITLE_NAME_OR_PR="","",TITLE_NAME_OR_PR),TITLE_NAME_OR_PR_CHANGE)</f>
        <v>Комитет по тарифам Санкт-Петербурга</v>
      </c>
      <c r="AD27" s="5372"/>
      <c r="AE27" s="5372"/>
      <c r="AF27" s="5372"/>
      <c r="AG27" s="5372"/>
      <c r="AH27" s="5372"/>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5370" t="s">
        <v>447</v>
      </c>
      <c r="T28" s="5370"/>
      <c r="U28" s="1298"/>
      <c r="V28" s="5371">
        <f>IF(TITLE_DATE_PR_CHANGE="",IF(TITLE_DATE_PR="","",TITLE_DATE_PR),TITLE_DATE_PR_CHANGE)</f>
        <v>45470</v>
      </c>
      <c r="W28" s="5371"/>
      <c r="X28" s="5371"/>
      <c r="Y28" s="5371"/>
      <c r="Z28" s="5371"/>
      <c r="AA28" s="5371"/>
      <c r="AB28" s="263"/>
      <c r="AC28" s="5371">
        <f>IF(TITLE_DATE_PR_CHANGE="",IF(TITLE_DATE_PR="","",TITLE_DATE_PR),TITLE_DATE_PR_CHANGE)</f>
        <v>45470</v>
      </c>
      <c r="AD28" s="5371"/>
      <c r="AE28" s="5371"/>
      <c r="AF28" s="5371"/>
      <c r="AG28" s="5371"/>
      <c r="AH28" s="5371"/>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5370" t="s">
        <v>448</v>
      </c>
      <c r="T29" s="5370"/>
      <c r="U29" s="1298"/>
      <c r="V29" s="5372" t="str">
        <f>IF(TITLE_NUMBER_PR_CHANGE="",IF(TITLE_NUMBER_PR="","",TITLE_NUMBER_PR),TITLE_NUMBER_PR_CHANGE)</f>
        <v>94-р</v>
      </c>
      <c r="W29" s="5372"/>
      <c r="X29" s="5372"/>
      <c r="Y29" s="5372"/>
      <c r="Z29" s="5372"/>
      <c r="AA29" s="5372"/>
      <c r="AB29" s="263"/>
      <c r="AC29" s="5372" t="str">
        <f>IF(TITLE_NUMBER_PR_CHANGE="",IF(TITLE_NUMBER_PR="","",TITLE_NUMBER_PR),TITLE_NUMBER_PR_CHANGE)</f>
        <v>94-р</v>
      </c>
      <c r="AD29" s="5372"/>
      <c r="AE29" s="5372"/>
      <c r="AF29" s="5372"/>
      <c r="AG29" s="5372"/>
      <c r="AH29" s="5372"/>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5370" t="s">
        <v>44</v>
      </c>
      <c r="T30" s="5370"/>
      <c r="U30" s="1298"/>
      <c r="V30" s="5372" t="str">
        <f>IF(TITLE_IST_PUB_CHANGE="",IF(TITLE_IST_PUB="","",TITLE_IST_PUB),TITLE_IST_PUB_CHANGE)</f>
        <v>http://publication.pravo.gov.ru/document/7801202407010029</v>
      </c>
      <c r="W30" s="5372"/>
      <c r="X30" s="5372"/>
      <c r="Y30" s="5372"/>
      <c r="Z30" s="5372"/>
      <c r="AA30" s="5372"/>
      <c r="AB30" s="263"/>
      <c r="AC30" s="5372" t="str">
        <f>IF(TITLE_IST_PUB_CHANGE="",IF(TITLE_IST_PUB="","",TITLE_IST_PUB),TITLE_IST_PUB_CHANGE)</f>
        <v>http://publication.pravo.gov.ru/document/7801202407010029</v>
      </c>
      <c r="AD30" s="5372"/>
      <c r="AE30" s="5372"/>
      <c r="AF30" s="5372"/>
      <c r="AG30" s="5372"/>
      <c r="AH30" s="537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5370" t="s">
        <v>449</v>
      </c>
      <c r="T32" s="5370"/>
      <c r="U32" s="1298"/>
      <c r="V32" s="5371">
        <f>IF(TITLE_DATE_PR_CHANGE="",IF(TITLE_DATE_PR="","",TITLE_DATE_PR),TITLE_DATE_PR_CHANGE)</f>
        <v>45470</v>
      </c>
      <c r="W32" s="5371"/>
      <c r="X32" s="5371"/>
      <c r="Y32" s="5371"/>
      <c r="Z32" s="5371"/>
      <c r="AA32" s="5371"/>
      <c r="AB32" s="263"/>
      <c r="AC32" s="5371">
        <f>IF(TITLE_DATE_PR_CHANGE="",IF(TITLE_DATE_PR="","",TITLE_DATE_PR),TITLE_DATE_PR_CHANGE)</f>
        <v>45470</v>
      </c>
      <c r="AD32" s="5371"/>
      <c r="AE32" s="5371"/>
      <c r="AF32" s="5371"/>
      <c r="AG32" s="5371"/>
      <c r="AH32" s="5371"/>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5370" t="s">
        <v>450</v>
      </c>
      <c r="T33" s="5370"/>
      <c r="U33" s="1298"/>
      <c r="V33" s="5372" t="str">
        <f>IF(TITLE_NUMBER_PR_CHANGE="",IF(TITLE_NUMBER_PR="","",TITLE_NUMBER_PR),TITLE_NUMBER_PR_CHANGE)</f>
        <v>94-р</v>
      </c>
      <c r="W33" s="5372"/>
      <c r="X33" s="5372"/>
      <c r="Y33" s="5372"/>
      <c r="Z33" s="5372"/>
      <c r="AA33" s="5372"/>
      <c r="AB33" s="263"/>
      <c r="AC33" s="5372" t="str">
        <f>IF(TITLE_NUMBER_PR_CHANGE="",IF(TITLE_NUMBER_PR="","",TITLE_NUMBER_PR),TITLE_NUMBER_PR_CHANGE)</f>
        <v>94-р</v>
      </c>
      <c r="AD33" s="5372"/>
      <c r="AE33" s="5372"/>
      <c r="AF33" s="5372"/>
      <c r="AG33" s="5372"/>
      <c r="AH33" s="537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451</v>
      </c>
      <c r="AC34" s="263"/>
      <c r="AD34" s="263"/>
      <c r="AE34" s="263"/>
      <c r="AF34" s="263"/>
      <c r="AG34" s="263"/>
      <c r="AH34" s="263"/>
      <c r="AI34" s="215" t="s">
        <v>451</v>
      </c>
      <c r="AL34" s="304"/>
      <c r="AM34" s="304"/>
      <c r="AN34" s="304"/>
      <c r="AO34" s="304"/>
      <c r="AP34" s="304"/>
      <c r="AQ34" s="354">
        <v>1</v>
      </c>
    </row>
    <row r="35" spans="1:43" ht="14.65" customHeight="1">
      <c r="Q35" s="312"/>
      <c r="R35" s="312"/>
      <c r="S35" s="1201"/>
      <c r="T35" s="299"/>
      <c r="U35" s="1170"/>
      <c r="V35" s="5393"/>
      <c r="W35" s="5393"/>
      <c r="X35" s="5393"/>
      <c r="Y35" s="5393"/>
      <c r="Z35" s="5393"/>
      <c r="AA35" s="5393"/>
      <c r="AB35" s="5393"/>
      <c r="AC35" s="5393"/>
      <c r="AD35" s="5393"/>
      <c r="AE35" s="5393"/>
      <c r="AF35" s="5393"/>
      <c r="AG35" s="5393"/>
      <c r="AH35" s="5393"/>
      <c r="AI35" s="5393"/>
      <c r="AQ35" s="1081">
        <v>14</v>
      </c>
    </row>
    <row r="36" spans="1:43" ht="14.65" customHeight="1">
      <c r="Q36" s="312"/>
      <c r="R36" s="312"/>
      <c r="S36" s="5235" t="s">
        <v>327</v>
      </c>
      <c r="T36" s="5235"/>
      <c r="U36" s="5235"/>
      <c r="V36" s="5235"/>
      <c r="W36" s="5235"/>
      <c r="X36" s="5235"/>
      <c r="Y36" s="5235"/>
      <c r="Z36" s="5235"/>
      <c r="AA36" s="5235"/>
      <c r="AB36" s="5235"/>
      <c r="AC36" s="5235"/>
      <c r="AD36" s="5235"/>
      <c r="AE36" s="5235"/>
      <c r="AF36" s="5235"/>
      <c r="AG36" s="5235"/>
      <c r="AH36" s="5235"/>
      <c r="AI36" s="5235"/>
      <c r="AJ36" s="5235"/>
      <c r="AK36" s="5235" t="s">
        <v>328</v>
      </c>
      <c r="AQ36" s="1081">
        <v>14</v>
      </c>
    </row>
    <row r="37" spans="1:43" ht="14.65" customHeight="1">
      <c r="Q37" s="312"/>
      <c r="R37" s="312"/>
      <c r="S37" s="5395" t="s">
        <v>90</v>
      </c>
      <c r="T37" s="5339" t="s">
        <v>452</v>
      </c>
      <c r="U37" s="238"/>
      <c r="V37" s="5396" t="s">
        <v>453</v>
      </c>
      <c r="W37" s="5397"/>
      <c r="X37" s="5397"/>
      <c r="Y37" s="5397"/>
      <c r="Z37" s="5397"/>
      <c r="AA37" s="5398"/>
      <c r="AB37" s="5399" t="s">
        <v>454</v>
      </c>
      <c r="AC37" s="5396" t="s">
        <v>453</v>
      </c>
      <c r="AD37" s="5397"/>
      <c r="AE37" s="5397"/>
      <c r="AF37" s="5397"/>
      <c r="AG37" s="5397"/>
      <c r="AH37" s="5398"/>
      <c r="AI37" s="5399" t="s">
        <v>455</v>
      </c>
      <c r="AJ37" s="5402" t="s">
        <v>456</v>
      </c>
      <c r="AK37" s="5235"/>
      <c r="AQ37" s="1081">
        <v>14</v>
      </c>
    </row>
    <row r="38" spans="1:43" ht="35.65" customHeight="1">
      <c r="Q38" s="312"/>
      <c r="R38" s="312"/>
      <c r="S38" s="5395"/>
      <c r="T38" s="5339"/>
      <c r="U38" s="960"/>
      <c r="V38" s="1409" t="s">
        <v>521</v>
      </c>
      <c r="W38" s="5217" t="s">
        <v>459</v>
      </c>
      <c r="X38" s="5216"/>
      <c r="Y38" s="5217" t="s">
        <v>460</v>
      </c>
      <c r="Z38" s="5222"/>
      <c r="AA38" s="5216"/>
      <c r="AB38" s="5400"/>
      <c r="AC38" s="1409" t="s">
        <v>521</v>
      </c>
      <c r="AD38" s="5217" t="s">
        <v>459</v>
      </c>
      <c r="AE38" s="5216"/>
      <c r="AF38" s="5217" t="s">
        <v>460</v>
      </c>
      <c r="AG38" s="5222"/>
      <c r="AH38" s="5216"/>
      <c r="AI38" s="5400"/>
      <c r="AJ38" s="5403"/>
      <c r="AK38" s="5235"/>
      <c r="AQ38" s="1081">
        <v>34</v>
      </c>
    </row>
    <row r="39" spans="1:43" ht="90.4" customHeight="1">
      <c r="A39" s="1296"/>
      <c r="B39" s="1296" t="s">
        <v>137</v>
      </c>
      <c r="C39" s="1296" t="s">
        <v>138</v>
      </c>
      <c r="D39" s="1296" t="s">
        <v>139</v>
      </c>
      <c r="E39" s="1290" t="s">
        <v>461</v>
      </c>
      <c r="F39" s="1290" t="s">
        <v>462</v>
      </c>
      <c r="G39" s="1290" t="s">
        <v>463</v>
      </c>
      <c r="H39" s="1290"/>
      <c r="I39" s="1290" t="s">
        <v>522</v>
      </c>
      <c r="J39" s="1290" t="s">
        <v>466</v>
      </c>
      <c r="K39" s="1290" t="s">
        <v>523</v>
      </c>
      <c r="L39" s="1290" t="s">
        <v>442</v>
      </c>
      <c r="Q39" s="312"/>
      <c r="R39" s="312"/>
      <c r="S39" s="5395"/>
      <c r="T39" s="5339"/>
      <c r="U39" s="239"/>
      <c r="V39" s="1409" t="s">
        <v>550</v>
      </c>
      <c r="W39" s="1148" t="s">
        <v>551</v>
      </c>
      <c r="X39" s="1148" t="s">
        <v>526</v>
      </c>
      <c r="Y39" s="1415" t="s">
        <v>470</v>
      </c>
      <c r="Z39" s="5344" t="s">
        <v>471</v>
      </c>
      <c r="AA39" s="5358"/>
      <c r="AB39" s="5401"/>
      <c r="AC39" s="1409" t="s">
        <v>550</v>
      </c>
      <c r="AD39" s="1148" t="s">
        <v>551</v>
      </c>
      <c r="AE39" s="1148" t="s">
        <v>526</v>
      </c>
      <c r="AF39" s="1415" t="s">
        <v>470</v>
      </c>
      <c r="AG39" s="5344" t="s">
        <v>471</v>
      </c>
      <c r="AH39" s="5358"/>
      <c r="AI39" s="5401"/>
      <c r="AJ39" s="5404"/>
      <c r="AK39" s="5235"/>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5392">
        <f ca="1">OFFSET(Z40,0,-1)+1</f>
        <v>7</v>
      </c>
      <c r="AA40" s="5392"/>
      <c r="AB40" s="1408">
        <f ca="1">OFFSET(AB40,0,-2)+1</f>
        <v>8</v>
      </c>
      <c r="AC40" s="1408">
        <f ca="1">OFFSET(AC40,0,-1)+1</f>
        <v>9</v>
      </c>
      <c r="AD40" s="1408">
        <f ca="1">OFFSET(AD40,0,-1)+1</f>
        <v>10</v>
      </c>
      <c r="AE40" s="1408">
        <f ca="1">OFFSET(AE40,0,-1)+1</f>
        <v>11</v>
      </c>
      <c r="AF40" s="1408">
        <f ca="1">OFFSET(AF40,0,-1)+1</f>
        <v>12</v>
      </c>
      <c r="AG40" s="5392">
        <f ca="1">OFFSET(AG40,0,-1)+1</f>
        <v>13</v>
      </c>
      <c r="AH40" s="5392"/>
      <c r="AI40" s="1408">
        <f ca="1">OFFSET(AI40,0,-2)+1</f>
        <v>14</v>
      </c>
      <c r="AJ40" s="1171">
        <f ca="1">OFFSET(AJ40,0,-1)</f>
        <v>14</v>
      </c>
      <c r="AK40" s="1408">
        <f ca="1">OFFSET(AK40,0,-1)+1</f>
        <v>15</v>
      </c>
      <c r="AL40" s="447"/>
      <c r="AM40" s="447"/>
      <c r="AN40" s="447"/>
      <c r="AO40" s="447"/>
      <c r="AP40" s="447"/>
      <c r="AQ40" s="432">
        <v>0</v>
      </c>
    </row>
    <row r="41" spans="1:43" ht="24" customHeight="1">
      <c r="A41" s="1289" t="s">
        <v>298</v>
      </c>
      <c r="B41" s="1289"/>
      <c r="C41" s="1289"/>
      <c r="D41" s="1289"/>
      <c r="E41" s="5381">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5373"/>
      <c r="W41" s="5374"/>
      <c r="X41" s="5374"/>
      <c r="Y41" s="5374"/>
      <c r="Z41" s="5374"/>
      <c r="AA41" s="5374"/>
      <c r="AB41" s="5375"/>
      <c r="AC41" s="5373" t="str">
        <f>INDEX(PT_DIFFERENTIATION_NTAR,MATCH(A41,PT_DIFFERENTIATION_NTAR_ID,0))</f>
        <v/>
      </c>
      <c r="AD41" s="5374"/>
      <c r="AE41" s="5374"/>
      <c r="AF41" s="5374"/>
      <c r="AG41" s="5374"/>
      <c r="AH41" s="5374"/>
      <c r="AI41" s="5374"/>
      <c r="AJ41" s="537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298</v>
      </c>
      <c r="B42" s="1289" t="s">
        <v>299</v>
      </c>
      <c r="C42" s="1289"/>
      <c r="D42" s="1289"/>
      <c r="E42" s="5382"/>
      <c r="F42" s="5381">
        <v>1</v>
      </c>
      <c r="G42" s="1289"/>
      <c r="H42" s="1289"/>
      <c r="I42" s="1289"/>
      <c r="J42" s="1289"/>
      <c r="K42" s="1289"/>
      <c r="L42" s="1290"/>
      <c r="M42" s="1291"/>
      <c r="N42" s="1291"/>
      <c r="O42" s="1291"/>
      <c r="P42" s="1413"/>
      <c r="Q42" s="288"/>
      <c r="R42" s="289"/>
      <c r="S42" s="1419" t="str">
        <f>INDEX(PT_DIFFERENTIATION_NUM_TER,MATCH(B42,PT_DIFFERENTIATION_TER_ID,0))</f>
        <v>.</v>
      </c>
      <c r="T42" s="245" t="s">
        <v>424</v>
      </c>
      <c r="U42" s="237"/>
      <c r="V42" s="5373"/>
      <c r="W42" s="5374"/>
      <c r="X42" s="5374"/>
      <c r="Y42" s="5374"/>
      <c r="Z42" s="5374"/>
      <c r="AA42" s="5374"/>
      <c r="AB42" s="5375"/>
      <c r="AC42" s="5373" t="str">
        <f>INDEX(PT_DIFFERENTIATION_TER,MATCH(B42,PT_DIFFERENTIATION_TER_ID,0))</f>
        <v/>
      </c>
      <c r="AD42" s="5374"/>
      <c r="AE42" s="5374"/>
      <c r="AF42" s="5374"/>
      <c r="AG42" s="5374"/>
      <c r="AH42" s="5374"/>
      <c r="AI42" s="5374"/>
      <c r="AJ42" s="5375"/>
      <c r="AK42" s="1184" t="s">
        <v>425</v>
      </c>
      <c r="AM42" s="436"/>
      <c r="AN42" s="436" t="str">
        <f t="shared" si="1"/>
        <v>Территория действия тарифа</v>
      </c>
      <c r="AO42" s="436"/>
      <c r="AP42" s="436"/>
      <c r="AQ42" s="1081">
        <v>23</v>
      </c>
    </row>
    <row r="43" spans="1:43" ht="24" customHeight="1">
      <c r="A43" s="1289" t="s">
        <v>298</v>
      </c>
      <c r="B43" s="1289" t="s">
        <v>299</v>
      </c>
      <c r="C43" s="1289" t="s">
        <v>300</v>
      </c>
      <c r="D43" s="1289"/>
      <c r="E43" s="5382"/>
      <c r="F43" s="5382"/>
      <c r="G43" s="5381">
        <v>1</v>
      </c>
      <c r="H43" s="1289"/>
      <c r="I43" s="1289"/>
      <c r="J43" s="1289"/>
      <c r="K43" s="1289"/>
      <c r="L43" s="1290"/>
      <c r="M43" s="1291"/>
      <c r="N43" s="1291"/>
      <c r="O43" s="1291"/>
      <c r="P43" s="290"/>
      <c r="Q43" s="288"/>
      <c r="R43" s="289"/>
      <c r="S43" s="1419" t="str">
        <f>INDEX(PT_DIFFERENTIATION_NUM_CS,MATCH(C43,PT_DIFFERENTIATION_CS_ID,0))</f>
        <v>..</v>
      </c>
      <c r="T43" s="246" t="s">
        <v>548</v>
      </c>
      <c r="U43" s="237"/>
      <c r="V43" s="5373"/>
      <c r="W43" s="5374"/>
      <c r="X43" s="5374"/>
      <c r="Y43" s="5374"/>
      <c r="Z43" s="5374"/>
      <c r="AA43" s="5374"/>
      <c r="AB43" s="5375"/>
      <c r="AC43" s="5373" t="str">
        <f>INDEX(PT_DIFFERENTIATION_CS,MATCH(C43,PT_DIFFERENTIATION_CS_ID,0))</f>
        <v/>
      </c>
      <c r="AD43" s="5374"/>
      <c r="AE43" s="5374"/>
      <c r="AF43" s="5374"/>
      <c r="AG43" s="5374"/>
      <c r="AH43" s="5374"/>
      <c r="AI43" s="5374"/>
      <c r="AJ43" s="5375"/>
      <c r="AK43" s="1184" t="s">
        <v>549</v>
      </c>
      <c r="AM43" s="436"/>
      <c r="AN43" s="436" t="str">
        <f t="shared" si="1"/>
        <v>Наименование централизованной системы водоотведения</v>
      </c>
      <c r="AO43" s="436"/>
      <c r="AP43" s="436"/>
      <c r="AQ43" s="1081">
        <v>23</v>
      </c>
    </row>
    <row r="44" spans="1:43" ht="24" customHeight="1">
      <c r="A44" s="1289" t="s">
        <v>298</v>
      </c>
      <c r="B44" s="1289" t="s">
        <v>299</v>
      </c>
      <c r="C44" s="1289" t="s">
        <v>300</v>
      </c>
      <c r="D44" s="1289" t="s">
        <v>553</v>
      </c>
      <c r="E44" s="5382"/>
      <c r="F44" s="5382"/>
      <c r="G44" s="5382"/>
      <c r="H44" s="5382"/>
      <c r="I44" s="5383" t="str">
        <f>S43&amp;".1"</f>
        <v>...1</v>
      </c>
      <c r="J44" s="1289"/>
      <c r="K44" s="1289"/>
      <c r="L44" s="1290"/>
      <c r="P44" s="5385">
        <v>1</v>
      </c>
      <c r="Q44" s="1407"/>
      <c r="R44" s="292"/>
      <c r="S44" s="1419" t="str">
        <f>$I44</f>
        <v>...1</v>
      </c>
      <c r="T44" s="222" t="s">
        <v>515</v>
      </c>
      <c r="U44" s="237"/>
      <c r="V44" s="5459"/>
      <c r="W44" s="5460"/>
      <c r="X44" s="5460"/>
      <c r="Y44" s="5460"/>
      <c r="Z44" s="5460"/>
      <c r="AA44" s="5460"/>
      <c r="AB44" s="5461"/>
      <c r="AC44" s="5462"/>
      <c r="AD44" s="5463"/>
      <c r="AE44" s="5463"/>
      <c r="AF44" s="5463"/>
      <c r="AG44" s="5463"/>
      <c r="AH44" s="5463"/>
      <c r="AI44" s="5463"/>
      <c r="AJ44" s="5464"/>
      <c r="AK44" s="1184" t="s">
        <v>516</v>
      </c>
      <c r="AM44" s="436"/>
      <c r="AN44" s="436" t="str">
        <f t="shared" si="1"/>
        <v>Наименование признака дифференциации</v>
      </c>
      <c r="AO44" s="436"/>
      <c r="AP44" s="436"/>
      <c r="AQ44" s="1081">
        <v>23</v>
      </c>
    </row>
    <row r="45" spans="1:43" ht="24" customHeight="1">
      <c r="A45" s="1289" t="s">
        <v>298</v>
      </c>
      <c r="B45" s="1289" t="s">
        <v>299</v>
      </c>
      <c r="C45" s="1289" t="s">
        <v>300</v>
      </c>
      <c r="D45" s="1289" t="s">
        <v>553</v>
      </c>
      <c r="E45" s="5382"/>
      <c r="F45" s="5382"/>
      <c r="G45" s="5382"/>
      <c r="H45" s="5382"/>
      <c r="I45" s="5384"/>
      <c r="J45" s="5383" t="str">
        <f>I44&amp;".1"</f>
        <v>...1.1</v>
      </c>
      <c r="K45" s="1289"/>
      <c r="L45" s="1290" t="s">
        <v>433</v>
      </c>
      <c r="P45" s="5385"/>
      <c r="Q45" s="5385">
        <v>1</v>
      </c>
      <c r="R45" s="293"/>
      <c r="S45" s="1419" t="str">
        <f>$J45</f>
        <v>...1.1</v>
      </c>
      <c r="T45" s="223" t="s">
        <v>434</v>
      </c>
      <c r="U45" s="237"/>
      <c r="V45" s="5366"/>
      <c r="W45" s="5367"/>
      <c r="X45" s="5367"/>
      <c r="Y45" s="5367"/>
      <c r="Z45" s="5367"/>
      <c r="AA45" s="5367"/>
      <c r="AB45" s="5368"/>
      <c r="AC45" s="5366"/>
      <c r="AD45" s="5367"/>
      <c r="AE45" s="5367"/>
      <c r="AF45" s="5367"/>
      <c r="AG45" s="5367"/>
      <c r="AH45" s="5367"/>
      <c r="AI45" s="5367"/>
      <c r="AJ45" s="5368"/>
      <c r="AK45" s="1233" t="s">
        <v>517</v>
      </c>
      <c r="AM45" s="436"/>
      <c r="AN45" s="436" t="str">
        <f t="shared" si="1"/>
        <v>Группа потребителей</v>
      </c>
      <c r="AO45" s="436"/>
      <c r="AP45" s="436"/>
      <c r="AQ45" s="1081">
        <v>23</v>
      </c>
    </row>
    <row r="46" spans="1:43" ht="24" customHeight="1">
      <c r="A46" s="1289" t="s">
        <v>298</v>
      </c>
      <c r="B46" s="1289" t="s">
        <v>299</v>
      </c>
      <c r="C46" s="1289" t="s">
        <v>300</v>
      </c>
      <c r="D46" s="1289" t="s">
        <v>553</v>
      </c>
      <c r="E46" s="5382"/>
      <c r="F46" s="5382"/>
      <c r="G46" s="5382"/>
      <c r="H46" s="5382"/>
      <c r="I46" s="5384"/>
      <c r="J46" s="5384"/>
      <c r="K46" s="5383" t="str">
        <f>J45&amp;".1"</f>
        <v>...1.1.1</v>
      </c>
      <c r="L46" s="1290"/>
      <c r="P46" s="5385"/>
      <c r="Q46" s="5385"/>
      <c r="R46" s="293">
        <v>1</v>
      </c>
      <c r="S46" s="1419" t="str">
        <f>$K46</f>
        <v>...1.1.1</v>
      </c>
      <c r="T46" s="1363"/>
      <c r="U46" s="237"/>
      <c r="V46" s="1286"/>
      <c r="W46" s="1286"/>
      <c r="X46" s="1287"/>
      <c r="Y46" s="5378"/>
      <c r="Z46" s="5377" t="s">
        <v>65</v>
      </c>
      <c r="AA46" s="5378"/>
      <c r="AB46" s="5377" t="s">
        <v>65</v>
      </c>
      <c r="AC46" s="687"/>
      <c r="AD46" s="687"/>
      <c r="AE46" s="1183"/>
      <c r="AF46" s="5386"/>
      <c r="AG46" s="5245" t="s">
        <v>65</v>
      </c>
      <c r="AH46" s="5388"/>
      <c r="AI46" s="5245" t="s">
        <v>19</v>
      </c>
      <c r="AJ46" s="1364"/>
      <c r="AK46"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298</v>
      </c>
      <c r="B47" s="1289" t="s">
        <v>299</v>
      </c>
      <c r="C47" s="1289" t="s">
        <v>300</v>
      </c>
      <c r="D47" s="1289" t="s">
        <v>553</v>
      </c>
      <c r="E47" s="5382"/>
      <c r="F47" s="5382"/>
      <c r="G47" s="5382"/>
      <c r="H47" s="5382"/>
      <c r="I47" s="5384"/>
      <c r="J47" s="5384"/>
      <c r="K47" s="5383"/>
      <c r="L47" s="1290"/>
      <c r="P47" s="5385"/>
      <c r="Q47" s="5385"/>
      <c r="R47" s="293"/>
      <c r="S47" s="1416"/>
      <c r="T47" s="237"/>
      <c r="U47" s="237"/>
      <c r="V47" s="1286"/>
      <c r="W47" s="1286"/>
      <c r="X47" s="265" t="str">
        <f>Y46&amp;"-"&amp;AA46</f>
        <v>-</v>
      </c>
      <c r="Y47" s="5377"/>
      <c r="Z47" s="5377"/>
      <c r="AA47" s="5377"/>
      <c r="AB47" s="5377"/>
      <c r="AC47" s="262"/>
      <c r="AD47" s="262"/>
      <c r="AE47" s="265" t="str">
        <f>AF46&amp;"-"&amp;AH46</f>
        <v>-</v>
      </c>
      <c r="AF47" s="5387"/>
      <c r="AG47" s="5245"/>
      <c r="AH47" s="5389"/>
      <c r="AI47" s="5245"/>
      <c r="AJ47" s="1365"/>
      <c r="AK47" s="5465"/>
      <c r="AM47" s="436"/>
      <c r="AN47" s="436" t="str">
        <f t="shared" si="1"/>
        <v/>
      </c>
      <c r="AO47" s="436"/>
      <c r="AP47" s="436"/>
      <c r="AQ47" s="1081">
        <v>0</v>
      </c>
    </row>
    <row r="48" spans="1:43" ht="21" customHeight="1">
      <c r="A48" s="1289" t="s">
        <v>298</v>
      </c>
      <c r="B48" s="1289" t="s">
        <v>299</v>
      </c>
      <c r="C48" s="1289" t="s">
        <v>300</v>
      </c>
      <c r="D48" s="1289" t="s">
        <v>553</v>
      </c>
      <c r="E48" s="5382"/>
      <c r="F48" s="5382"/>
      <c r="G48" s="5382"/>
      <c r="H48" s="5382"/>
      <c r="I48" s="5384"/>
      <c r="J48" s="5383"/>
      <c r="K48" s="1289"/>
      <c r="L48" s="1290"/>
      <c r="P48" s="5385"/>
      <c r="Q48" s="5385"/>
      <c r="R48" s="292"/>
      <c r="S48" s="1204"/>
      <c r="T48" s="224" t="s">
        <v>518</v>
      </c>
      <c r="U48" s="303"/>
      <c r="V48" s="303"/>
      <c r="W48" s="303"/>
      <c r="X48" s="303"/>
      <c r="Y48" s="303"/>
      <c r="Z48" s="303"/>
      <c r="AA48" s="303"/>
      <c r="AB48" s="303"/>
      <c r="AC48" s="303"/>
      <c r="AD48" s="303"/>
      <c r="AE48" s="303"/>
      <c r="AF48" s="303"/>
      <c r="AG48" s="303"/>
      <c r="AH48" s="303"/>
      <c r="AI48" s="303"/>
      <c r="AJ48" s="303"/>
      <c r="AK48" s="1184" t="s">
        <v>519</v>
      </c>
      <c r="AM48" s="436"/>
      <c r="AN48" s="436" t="str">
        <f t="shared" si="1"/>
        <v>Добавить значение признака дифференциации</v>
      </c>
      <c r="AO48" s="436"/>
      <c r="AP48" s="436"/>
      <c r="AQ48" s="1081">
        <v>20</v>
      </c>
    </row>
    <row r="49" spans="1:43" ht="21.95" customHeight="1">
      <c r="A49" s="1289" t="s">
        <v>298</v>
      </c>
      <c r="B49" s="1289" t="s">
        <v>299</v>
      </c>
      <c r="C49" s="1289" t="s">
        <v>300</v>
      </c>
      <c r="D49" s="1289" t="s">
        <v>553</v>
      </c>
      <c r="E49" s="5382"/>
      <c r="F49" s="5382"/>
      <c r="G49" s="5382"/>
      <c r="H49" s="5382"/>
      <c r="I49" s="5383"/>
      <c r="J49" s="1289"/>
      <c r="K49" s="1289"/>
      <c r="L49" s="1290"/>
      <c r="P49" s="5385"/>
      <c r="Q49" s="1407"/>
      <c r="R49" s="292"/>
      <c r="S49" s="1204"/>
      <c r="T49" s="301" t="s">
        <v>439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298</v>
      </c>
      <c r="B50" s="1289" t="s">
        <v>299</v>
      </c>
      <c r="C50" s="1289" t="s">
        <v>300</v>
      </c>
      <c r="D50" s="1289" t="s">
        <v>553</v>
      </c>
      <c r="E50" s="5382"/>
      <c r="F50" s="5382"/>
      <c r="G50" s="5382"/>
      <c r="H50" s="5381"/>
      <c r="I50" s="1289"/>
      <c r="J50" s="1289"/>
      <c r="K50" s="1289"/>
      <c r="L50" s="1290"/>
      <c r="M50" s="1291"/>
      <c r="N50" s="1291"/>
      <c r="O50" s="473"/>
      <c r="P50" s="296"/>
      <c r="Q50" s="311"/>
      <c r="R50" s="291"/>
      <c r="S50" s="1204"/>
      <c r="T50" s="308" t="s">
        <v>520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298</v>
      </c>
      <c r="B51" s="1269" t="s">
        <v>299</v>
      </c>
      <c r="C51" s="1240"/>
      <c r="D51" s="1240"/>
      <c r="E51" s="5382"/>
      <c r="F51" s="5381"/>
      <c r="G51" s="1240"/>
      <c r="H51" s="1240"/>
      <c r="I51" s="1240"/>
      <c r="J51" s="1240"/>
      <c r="K51" s="1240"/>
      <c r="L51" s="1420"/>
      <c r="M51" s="1247"/>
      <c r="N51" s="1247"/>
      <c r="P51" s="1242"/>
      <c r="Q51" s="1243"/>
      <c r="R51" s="1242"/>
      <c r="S51" s="1248"/>
      <c r="T51" s="1251" t="s">
        <v>164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298</v>
      </c>
      <c r="B52" s="1269"/>
      <c r="C52" s="1269"/>
      <c r="D52" s="1269"/>
      <c r="E52" s="5381"/>
      <c r="F52" s="1269"/>
      <c r="G52" s="1269"/>
      <c r="H52" s="1269"/>
      <c r="I52" s="1269"/>
      <c r="J52" s="1269"/>
      <c r="K52" s="1269"/>
      <c r="L52" s="1272"/>
      <c r="M52" s="1247"/>
      <c r="N52" s="1247"/>
      <c r="O52" s="454"/>
      <c r="P52" s="316"/>
      <c r="Q52" s="1270"/>
      <c r="R52" s="316"/>
      <c r="S52" s="1248"/>
      <c r="T52" s="1251" t="s">
        <v>165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182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5379"/>
      <c r="U55" s="5379"/>
      <c r="V55" s="5379"/>
      <c r="W55" s="5379"/>
      <c r="X55" s="5379"/>
      <c r="Y55" s="5379"/>
      <c r="Z55" s="5379"/>
      <c r="AA55" s="5379"/>
      <c r="AB55" s="5379"/>
      <c r="AC55" s="5379"/>
      <c r="AD55" s="5379"/>
      <c r="AE55" s="5379"/>
      <c r="AF55" s="5379"/>
      <c r="AG55" s="5379"/>
      <c r="AH55" s="5379"/>
      <c r="AI55" s="5379"/>
      <c r="AJ55" s="5379"/>
      <c r="AK55" s="5379"/>
      <c r="AQ55" s="1081">
        <v>14</v>
      </c>
    </row>
    <row r="56" spans="1:43" ht="14.65" customHeight="1">
      <c r="O56" s="473"/>
      <c r="AQ56" s="1081">
        <v>14</v>
      </c>
    </row>
    <row r="57" spans="1:43" ht="14.65" customHeight="1">
      <c r="O57" s="473"/>
      <c r="S57" s="1179"/>
      <c r="T57" s="5379"/>
      <c r="U57" s="5379"/>
      <c r="V57" s="5379"/>
      <c r="W57" s="5379"/>
      <c r="X57" s="5379"/>
      <c r="Y57" s="5379"/>
      <c r="Z57" s="5379"/>
      <c r="AA57" s="5379"/>
      <c r="AB57" s="5379"/>
      <c r="AC57" s="5379"/>
      <c r="AD57" s="5379"/>
      <c r="AE57" s="5379"/>
      <c r="AF57" s="5379"/>
      <c r="AG57" s="5379"/>
      <c r="AH57" s="5379"/>
      <c r="AI57" s="5379"/>
      <c r="AJ57" s="5379"/>
      <c r="AK57" s="5379"/>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5381">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5374"/>
      <c r="W2" s="5374"/>
      <c r="X2" s="5374"/>
      <c r="Y2" s="5374"/>
      <c r="Z2" s="5374"/>
      <c r="AA2" s="5374"/>
      <c r="AB2" s="5374"/>
      <c r="AC2" s="5375"/>
      <c r="AD2" s="5373" t="e">
        <f>INDEX(PT_DIFFERENTIATION_NTAR,MATCH(A2,PT_DIFFERENTIATION_NTAR_ID,0))</f>
        <v>#N/A</v>
      </c>
      <c r="AE2" s="5374"/>
      <c r="AF2" s="5374"/>
      <c r="AG2" s="5374"/>
      <c r="AH2" s="5374"/>
      <c r="AI2" s="5374"/>
      <c r="AJ2" s="5374"/>
      <c r="AK2" s="5374"/>
      <c r="AL2" s="5374"/>
      <c r="AM2" s="5374"/>
      <c r="AN2" s="5374"/>
      <c r="AO2" s="5374"/>
      <c r="AP2" s="5374"/>
      <c r="AQ2" s="5374"/>
      <c r="AR2" s="5374"/>
      <c r="AS2" s="5374"/>
      <c r="AT2" s="5374"/>
      <c r="AU2" s="5374"/>
      <c r="AV2" s="5374"/>
      <c r="AW2" s="5374"/>
      <c r="AX2" s="5374"/>
      <c r="AY2" s="5374"/>
      <c r="AZ2" s="5374"/>
      <c r="BA2" s="5374"/>
      <c r="BB2" s="537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5382"/>
      <c r="F3" s="5381">
        <v>1</v>
      </c>
      <c r="G3" s="1289"/>
      <c r="H3" s="1289"/>
      <c r="I3" s="1289"/>
      <c r="J3" s="1289"/>
      <c r="K3" s="1289"/>
      <c r="L3" s="1290"/>
      <c r="M3" s="1291"/>
      <c r="N3" s="1291"/>
      <c r="O3" s="1291"/>
      <c r="P3" s="1336"/>
      <c r="Q3" s="1337"/>
      <c r="R3" s="289"/>
      <c r="S3" s="1419" t="e">
        <f>INDEX(PT_DIFFERENTIATION_NUM_TER,MATCH(B3,PT_DIFFERENTIATION_TER_ID,0))</f>
        <v>#N/A</v>
      </c>
      <c r="T3" s="245" t="s">
        <v>424</v>
      </c>
      <c r="U3" s="237"/>
      <c r="V3" s="5374"/>
      <c r="W3" s="5374"/>
      <c r="X3" s="5374"/>
      <c r="Y3" s="5374"/>
      <c r="Z3" s="5374"/>
      <c r="AA3" s="5374"/>
      <c r="AB3" s="5374"/>
      <c r="AC3" s="5375"/>
      <c r="AD3" s="5373" t="e">
        <f>INDEX(PT_DIFFERENTIATION_TER,MATCH(B3,PT_DIFFERENTIATION_TER_ID,0))</f>
        <v>#N/A</v>
      </c>
      <c r="AE3" s="5374"/>
      <c r="AF3" s="5374"/>
      <c r="AG3" s="5374"/>
      <c r="AH3" s="5374"/>
      <c r="AI3" s="5374"/>
      <c r="AJ3" s="5374"/>
      <c r="AK3" s="5374"/>
      <c r="AL3" s="5374"/>
      <c r="AM3" s="5374"/>
      <c r="AN3" s="5374"/>
      <c r="AO3" s="5374"/>
      <c r="AP3" s="5374"/>
      <c r="AQ3" s="5374"/>
      <c r="AR3" s="5374"/>
      <c r="AS3" s="5374"/>
      <c r="AT3" s="5374"/>
      <c r="AU3" s="5374"/>
      <c r="AV3" s="5374"/>
      <c r="AW3" s="5374"/>
      <c r="AX3" s="5374"/>
      <c r="AY3" s="5374"/>
      <c r="AZ3" s="5374"/>
      <c r="BA3" s="5374"/>
      <c r="BB3" s="5375"/>
      <c r="BC3" s="1184" t="s">
        <v>425</v>
      </c>
      <c r="BE3" s="436"/>
      <c r="BF3" s="436" t="str">
        <f t="shared" si="0"/>
        <v>Территория действия тарифа</v>
      </c>
      <c r="BG3" s="436"/>
      <c r="BH3" s="436"/>
      <c r="BI3" s="1081">
        <v>0</v>
      </c>
    </row>
    <row r="4" spans="1:61" ht="33.75" hidden="1" customHeight="1">
      <c r="A4" s="1289"/>
      <c r="B4" s="1289"/>
      <c r="C4" s="1289"/>
      <c r="D4" s="1289"/>
      <c r="E4" s="5382"/>
      <c r="F4" s="5382"/>
      <c r="G4" s="5381">
        <v>1</v>
      </c>
      <c r="H4" s="1289"/>
      <c r="I4" s="1289"/>
      <c r="J4" s="1289"/>
      <c r="K4" s="1289"/>
      <c r="L4" s="1290"/>
      <c r="M4" s="1291"/>
      <c r="N4" s="1291"/>
      <c r="O4" s="1291"/>
      <c r="P4" s="1338"/>
      <c r="Q4" s="1337"/>
      <c r="R4" s="289"/>
      <c r="S4" s="1419" t="e">
        <f>INDEX(PT_DIFFERENTIATION_NUM_CS,MATCH(C4,PT_DIFFERENTIATION_CS_ID,0))</f>
        <v>#N/A</v>
      </c>
      <c r="T4" s="246" t="s">
        <v>548</v>
      </c>
      <c r="U4" s="237"/>
      <c r="V4" s="5374"/>
      <c r="W4" s="5374"/>
      <c r="X4" s="5374"/>
      <c r="Y4" s="5374"/>
      <c r="Z4" s="5374"/>
      <c r="AA4" s="5374"/>
      <c r="AB4" s="5374"/>
      <c r="AC4" s="5375"/>
      <c r="AD4" s="5373" t="e">
        <f>INDEX(PT_DIFFERENTIATION_CS,MATCH(C4,PT_DIFFERENTIATION_CS_ID,0))</f>
        <v>#N/A</v>
      </c>
      <c r="AE4" s="5374"/>
      <c r="AF4" s="5374"/>
      <c r="AG4" s="5374"/>
      <c r="AH4" s="5374"/>
      <c r="AI4" s="5374"/>
      <c r="AJ4" s="5374"/>
      <c r="AK4" s="5374"/>
      <c r="AL4" s="5374"/>
      <c r="AM4" s="5374"/>
      <c r="AN4" s="5374"/>
      <c r="AO4" s="5374"/>
      <c r="AP4" s="5374"/>
      <c r="AQ4" s="5374"/>
      <c r="AR4" s="5374"/>
      <c r="AS4" s="5374"/>
      <c r="AT4" s="5374"/>
      <c r="AU4" s="5374"/>
      <c r="AV4" s="5374"/>
      <c r="AW4" s="5374"/>
      <c r="AX4" s="5374"/>
      <c r="AY4" s="5374"/>
      <c r="AZ4" s="5374"/>
      <c r="BA4" s="5374"/>
      <c r="BB4" s="5375"/>
      <c r="BC4" s="1184" t="s">
        <v>549</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5382"/>
      <c r="F5" s="5382"/>
      <c r="G5" s="5382"/>
      <c r="H5" s="5381">
        <v>1</v>
      </c>
      <c r="I5" s="1269"/>
      <c r="J5" s="1269"/>
      <c r="K5" s="1269"/>
      <c r="L5" s="1272"/>
      <c r="M5" s="1241"/>
      <c r="N5" s="1241"/>
      <c r="O5" s="1241"/>
      <c r="P5" s="1423"/>
      <c r="Q5" s="1424"/>
      <c r="R5" s="293"/>
      <c r="S5" s="971"/>
      <c r="T5" s="1425"/>
      <c r="U5" s="1310"/>
      <c r="V5" s="5421"/>
      <c r="W5" s="5421"/>
      <c r="X5" s="5421"/>
      <c r="Y5" s="5421"/>
      <c r="Z5" s="5421"/>
      <c r="AA5" s="5421"/>
      <c r="AB5" s="5421"/>
      <c r="AC5" s="5422"/>
      <c r="AD5" s="5420"/>
      <c r="AE5" s="5421"/>
      <c r="AF5" s="5421"/>
      <c r="AG5" s="5421"/>
      <c r="AH5" s="5421"/>
      <c r="AI5" s="5421"/>
      <c r="AJ5" s="5421"/>
      <c r="AK5" s="5421"/>
      <c r="AL5" s="5421"/>
      <c r="AM5" s="5421"/>
      <c r="AN5" s="5421"/>
      <c r="AO5" s="5421"/>
      <c r="AP5" s="5421"/>
      <c r="AQ5" s="5421"/>
      <c r="AR5" s="5421"/>
      <c r="AS5" s="5421"/>
      <c r="AT5" s="5421"/>
      <c r="AU5" s="5421"/>
      <c r="AV5" s="5421"/>
      <c r="AW5" s="5421"/>
      <c r="AX5" s="5421"/>
      <c r="AY5" s="5421"/>
      <c r="AZ5" s="5421"/>
      <c r="BA5" s="5421"/>
      <c r="BB5" s="5422"/>
      <c r="BC5" s="1311" t="s">
        <v>429</v>
      </c>
      <c r="BE5" s="436"/>
      <c r="BF5" s="436" t="str">
        <f t="shared" si="0"/>
        <v/>
      </c>
      <c r="BG5" s="436"/>
      <c r="BH5" s="436"/>
      <c r="BI5" s="447">
        <v>0</v>
      </c>
    </row>
    <row r="6" spans="1:61" s="1568" customFormat="1" ht="14.25" hidden="1" customHeight="1">
      <c r="A6" s="1269"/>
      <c r="B6" s="1269"/>
      <c r="C6" s="1269"/>
      <c r="D6" s="1269"/>
      <c r="E6" s="5382"/>
      <c r="F6" s="5382"/>
      <c r="G6" s="5382"/>
      <c r="H6" s="5382"/>
      <c r="I6" s="5383" t="str">
        <f>S5&amp;".1"</f>
        <v>.1</v>
      </c>
      <c r="J6" s="1269"/>
      <c r="K6" s="1269"/>
      <c r="L6" s="1272" t="s">
        <v>430</v>
      </c>
      <c r="M6" s="446"/>
      <c r="N6" s="446"/>
      <c r="O6" s="446"/>
      <c r="P6" s="5385">
        <v>1</v>
      </c>
      <c r="Q6" s="1407"/>
      <c r="R6" s="292"/>
      <c r="S6" s="971"/>
      <c r="T6" s="1309"/>
      <c r="U6" s="1310"/>
      <c r="V6" s="5421"/>
      <c r="W6" s="5421"/>
      <c r="X6" s="5421"/>
      <c r="Y6" s="5421"/>
      <c r="Z6" s="5421"/>
      <c r="AA6" s="5421"/>
      <c r="AB6" s="5421"/>
      <c r="AC6" s="5422"/>
      <c r="AD6" s="5420"/>
      <c r="AE6" s="5421"/>
      <c r="AF6" s="5421"/>
      <c r="AG6" s="5421"/>
      <c r="AH6" s="5421"/>
      <c r="AI6" s="5421"/>
      <c r="AJ6" s="5421"/>
      <c r="AK6" s="5421"/>
      <c r="AL6" s="5421"/>
      <c r="AM6" s="5421"/>
      <c r="AN6" s="5421"/>
      <c r="AO6" s="5421"/>
      <c r="AP6" s="5421"/>
      <c r="AQ6" s="5421"/>
      <c r="AR6" s="5421"/>
      <c r="AS6" s="5421"/>
      <c r="AT6" s="5421"/>
      <c r="AU6" s="5421"/>
      <c r="AV6" s="5421"/>
      <c r="AW6" s="5421"/>
      <c r="AX6" s="5421"/>
      <c r="AY6" s="5421"/>
      <c r="AZ6" s="5421"/>
      <c r="BA6" s="5421"/>
      <c r="BB6" s="5422"/>
      <c r="BC6" s="1311"/>
      <c r="BE6" s="436"/>
      <c r="BF6" s="436" t="str">
        <f t="shared" si="0"/>
        <v/>
      </c>
      <c r="BG6" s="436"/>
      <c r="BH6" s="436"/>
      <c r="BI6" s="447">
        <v>0</v>
      </c>
    </row>
    <row r="7" spans="1:61" s="1568" customFormat="1" ht="14.25" hidden="1" customHeight="1">
      <c r="A7" s="1269"/>
      <c r="B7" s="1269"/>
      <c r="C7" s="1269"/>
      <c r="D7" s="1269"/>
      <c r="E7" s="5382"/>
      <c r="F7" s="5382"/>
      <c r="G7" s="5382"/>
      <c r="H7" s="5382"/>
      <c r="I7" s="5384"/>
      <c r="J7" s="5383" t="str">
        <f>S5&amp;".1"</f>
        <v>.1</v>
      </c>
      <c r="K7" s="1269"/>
      <c r="L7" s="1272"/>
      <c r="M7" s="446"/>
      <c r="N7" s="446"/>
      <c r="O7" s="446"/>
      <c r="P7" s="5385"/>
      <c r="Q7" s="5385">
        <v>1</v>
      </c>
      <c r="R7" s="293"/>
      <c r="S7" s="971"/>
      <c r="T7" s="1325"/>
      <c r="U7" s="1310"/>
      <c r="V7" s="5421"/>
      <c r="W7" s="5421"/>
      <c r="X7" s="5421"/>
      <c r="Y7" s="5421"/>
      <c r="Z7" s="5421"/>
      <c r="AA7" s="5421"/>
      <c r="AB7" s="5421"/>
      <c r="AC7" s="5422"/>
      <c r="AD7" s="5420"/>
      <c r="AE7" s="5421"/>
      <c r="AF7" s="5421"/>
      <c r="AG7" s="5421"/>
      <c r="AH7" s="5421"/>
      <c r="AI7" s="5421"/>
      <c r="AJ7" s="5421"/>
      <c r="AK7" s="5421"/>
      <c r="AL7" s="5421"/>
      <c r="AM7" s="5421"/>
      <c r="AN7" s="5421"/>
      <c r="AO7" s="5421"/>
      <c r="AP7" s="5421"/>
      <c r="AQ7" s="5421"/>
      <c r="AR7" s="5421"/>
      <c r="AS7" s="5421"/>
      <c r="AT7" s="5421"/>
      <c r="AU7" s="5421"/>
      <c r="AV7" s="5421"/>
      <c r="AW7" s="5421"/>
      <c r="AX7" s="5421"/>
      <c r="AY7" s="5421"/>
      <c r="AZ7" s="5421"/>
      <c r="BA7" s="5421"/>
      <c r="BB7" s="5422"/>
      <c r="BC7" s="1311"/>
      <c r="BE7" s="436"/>
      <c r="BF7" s="436" t="str">
        <f t="shared" si="0"/>
        <v/>
      </c>
      <c r="BG7" s="436"/>
      <c r="BH7" s="436"/>
      <c r="BI7" s="447">
        <v>0</v>
      </c>
    </row>
    <row r="8" spans="1:61" ht="11.25" hidden="1" customHeight="1">
      <c r="A8" s="1289"/>
      <c r="B8" s="1289"/>
      <c r="C8" s="1289"/>
      <c r="D8" s="1289"/>
      <c r="E8" s="5382"/>
      <c r="F8" s="5382"/>
      <c r="G8" s="5382"/>
      <c r="H8" s="5382"/>
      <c r="I8" s="5384"/>
      <c r="J8" s="5384"/>
      <c r="K8" s="5383" t="e">
        <f>S4&amp;".1"</f>
        <v>#N/A</v>
      </c>
      <c r="L8" s="1290"/>
      <c r="P8" s="5385"/>
      <c r="Q8" s="5385"/>
      <c r="R8" s="5451">
        <v>1</v>
      </c>
      <c r="S8" s="5448" t="e">
        <f>$K8</f>
        <v>#N/A</v>
      </c>
      <c r="T8" s="5468"/>
      <c r="U8" s="237"/>
      <c r="V8" s="687"/>
      <c r="W8" s="1183"/>
      <c r="X8" s="687"/>
      <c r="Y8" s="1183"/>
      <c r="Z8" s="1659"/>
      <c r="AA8" s="1395" t="s">
        <v>65</v>
      </c>
      <c r="AB8" s="1659"/>
      <c r="AC8" s="1395" t="s">
        <v>65</v>
      </c>
      <c r="AD8" s="5303" t="s">
        <v>65</v>
      </c>
      <c r="AE8" s="5444"/>
      <c r="AF8" s="5335">
        <v>1</v>
      </c>
      <c r="AG8" s="5467"/>
      <c r="AH8" s="5245" t="s">
        <v>65</v>
      </c>
      <c r="AI8" s="5444"/>
      <c r="AJ8" s="5335">
        <v>1</v>
      </c>
      <c r="AK8" s="5458" t="s">
        <v>28</v>
      </c>
      <c r="AL8" s="5245" t="s">
        <v>65</v>
      </c>
      <c r="AM8" s="5312"/>
      <c r="AN8" s="5335">
        <v>1</v>
      </c>
      <c r="AO8" s="5471"/>
      <c r="AP8" s="5472" t="s">
        <v>65</v>
      </c>
      <c r="AQ8" s="248"/>
      <c r="AR8" s="1412">
        <v>1</v>
      </c>
      <c r="AS8" s="1418" t="s">
        <v>28</v>
      </c>
      <c r="AT8" s="687"/>
      <c r="AU8" s="1183"/>
      <c r="AV8" s="687"/>
      <c r="AW8" s="1183"/>
      <c r="AX8" s="1659"/>
      <c r="AY8" s="1395" t="s">
        <v>65</v>
      </c>
      <c r="AZ8" s="1659"/>
      <c r="BA8" s="1395" t="s">
        <v>65</v>
      </c>
      <c r="BB8" s="1274"/>
      <c r="BC8" s="5405" t="s">
        <v>533</v>
      </c>
      <c r="BE8" s="436"/>
      <c r="BF8" s="436" t="str">
        <f t="shared" si="0"/>
        <v/>
      </c>
      <c r="BG8" s="436"/>
      <c r="BH8" s="436"/>
      <c r="BI8" s="1081">
        <v>0</v>
      </c>
    </row>
    <row r="9" spans="1:61" ht="11.25" hidden="1" customHeight="1">
      <c r="A9" s="1289"/>
      <c r="B9" s="1289"/>
      <c r="C9" s="1289"/>
      <c r="D9" s="1289"/>
      <c r="E9" s="5382"/>
      <c r="F9" s="5382"/>
      <c r="G9" s="5382"/>
      <c r="H9" s="5382"/>
      <c r="I9" s="5384"/>
      <c r="J9" s="5384"/>
      <c r="K9" s="5383"/>
      <c r="L9" s="1290"/>
      <c r="P9" s="5385"/>
      <c r="Q9" s="5385"/>
      <c r="R9" s="5451"/>
      <c r="S9" s="5449"/>
      <c r="T9" s="5469"/>
      <c r="U9" s="237"/>
      <c r="V9" s="1319"/>
      <c r="W9" s="1422"/>
      <c r="X9" s="1319"/>
      <c r="Y9" s="1422"/>
      <c r="Z9" s="1319"/>
      <c r="AA9" s="1319"/>
      <c r="AB9" s="1319"/>
      <c r="AC9" s="1319"/>
      <c r="AD9" s="5304"/>
      <c r="AE9" s="5444"/>
      <c r="AF9" s="5335"/>
      <c r="AG9" s="5467"/>
      <c r="AH9" s="5245"/>
      <c r="AI9" s="5444"/>
      <c r="AJ9" s="5335"/>
      <c r="AK9" s="5458"/>
      <c r="AL9" s="5245"/>
      <c r="AM9" s="5317"/>
      <c r="AN9" s="5335"/>
      <c r="AO9" s="5471"/>
      <c r="AP9" s="5473"/>
      <c r="AQ9" s="253"/>
      <c r="AR9" s="352"/>
      <c r="AS9" s="352" t="s">
        <v>534</v>
      </c>
      <c r="AT9" s="1319"/>
      <c r="AU9" s="1422"/>
      <c r="AV9" s="1319"/>
      <c r="AW9" s="1422"/>
      <c r="AX9" s="1319"/>
      <c r="AY9" s="1319"/>
      <c r="AZ9" s="1319"/>
      <c r="BA9" s="1319"/>
      <c r="BB9" s="1323"/>
      <c r="BC9" s="5406"/>
      <c r="BE9" s="436"/>
      <c r="BF9" s="436"/>
      <c r="BG9" s="436"/>
      <c r="BH9" s="436"/>
      <c r="BI9" s="1081">
        <v>0</v>
      </c>
    </row>
    <row r="10" spans="1:61" ht="11.25" hidden="1" customHeight="1">
      <c r="A10" s="1289"/>
      <c r="B10" s="1289"/>
      <c r="C10" s="1289"/>
      <c r="D10" s="1289"/>
      <c r="E10" s="5382"/>
      <c r="F10" s="5382"/>
      <c r="G10" s="5382"/>
      <c r="H10" s="5382"/>
      <c r="I10" s="5384"/>
      <c r="J10" s="5384"/>
      <c r="K10" s="5383"/>
      <c r="L10" s="1290"/>
      <c r="P10" s="5385"/>
      <c r="Q10" s="5385"/>
      <c r="R10" s="5451"/>
      <c r="S10" s="5449"/>
      <c r="T10" s="5469"/>
      <c r="U10" s="237"/>
      <c r="V10" s="1319"/>
      <c r="W10" s="1422"/>
      <c r="X10" s="1319"/>
      <c r="Y10" s="1422"/>
      <c r="Z10" s="1319"/>
      <c r="AA10" s="1319"/>
      <c r="AB10" s="1319"/>
      <c r="AC10" s="1319"/>
      <c r="AD10" s="5304"/>
      <c r="AE10" s="5444"/>
      <c r="AF10" s="5335"/>
      <c r="AG10" s="5467"/>
      <c r="AH10" s="5245"/>
      <c r="AI10" s="5444"/>
      <c r="AJ10" s="5335"/>
      <c r="AK10" s="5458"/>
      <c r="AL10" s="5245"/>
      <c r="AM10" s="253"/>
      <c r="AN10" s="1426"/>
      <c r="AO10" s="1426" t="s">
        <v>554</v>
      </c>
      <c r="AP10" s="352"/>
      <c r="AQ10" s="352"/>
      <c r="AR10" s="352"/>
      <c r="AS10" s="1319"/>
      <c r="AT10" s="1319"/>
      <c r="AU10" s="1422"/>
      <c r="AV10" s="1319"/>
      <c r="AW10" s="1422"/>
      <c r="AX10" s="1319"/>
      <c r="AY10" s="1319"/>
      <c r="AZ10" s="1319"/>
      <c r="BA10" s="1319"/>
      <c r="BB10" s="1323"/>
      <c r="BC10" s="5406"/>
      <c r="BE10" s="436"/>
      <c r="BF10" s="436"/>
      <c r="BG10" s="436"/>
      <c r="BH10" s="436"/>
      <c r="BI10" s="1081">
        <v>0</v>
      </c>
    </row>
    <row r="11" spans="1:61" ht="11.25" hidden="1" customHeight="1">
      <c r="A11" s="1289"/>
      <c r="B11" s="1289"/>
      <c r="C11" s="1289"/>
      <c r="D11" s="1289"/>
      <c r="E11" s="5382"/>
      <c r="F11" s="5382"/>
      <c r="G11" s="5382"/>
      <c r="H11" s="5382"/>
      <c r="I11" s="5384"/>
      <c r="J11" s="5384"/>
      <c r="K11" s="5383"/>
      <c r="L11" s="1290"/>
      <c r="P11" s="5385"/>
      <c r="Q11" s="5385"/>
      <c r="R11" s="5451"/>
      <c r="S11" s="5449"/>
      <c r="T11" s="5469"/>
      <c r="U11" s="237"/>
      <c r="V11" s="1319"/>
      <c r="W11" s="1422"/>
      <c r="X11" s="1319"/>
      <c r="Y11" s="1422"/>
      <c r="Z11" s="1319"/>
      <c r="AA11" s="1319"/>
      <c r="AB11" s="1319"/>
      <c r="AC11" s="1319"/>
      <c r="AD11" s="5304"/>
      <c r="AE11" s="5444"/>
      <c r="AF11" s="5335"/>
      <c r="AG11" s="5467"/>
      <c r="AH11" s="5245"/>
      <c r="AI11" s="231"/>
      <c r="AJ11" s="351"/>
      <c r="AK11" s="250" t="s">
        <v>555</v>
      </c>
      <c r="AL11" s="1319"/>
      <c r="AM11" s="1319"/>
      <c r="AN11" s="1319"/>
      <c r="AO11" s="1319"/>
      <c r="AP11" s="1319"/>
      <c r="AQ11" s="1319"/>
      <c r="AR11" s="1319"/>
      <c r="AS11" s="1319"/>
      <c r="AT11" s="1319"/>
      <c r="AU11" s="1422"/>
      <c r="AV11" s="1319"/>
      <c r="AW11" s="1422"/>
      <c r="AX11" s="1319"/>
      <c r="AY11" s="1319"/>
      <c r="AZ11" s="1319"/>
      <c r="BA11" s="1319"/>
      <c r="BB11" s="1323"/>
      <c r="BC11" s="5406"/>
      <c r="BE11" s="436"/>
      <c r="BF11" s="436"/>
      <c r="BG11" s="436"/>
      <c r="BH11" s="436"/>
      <c r="BI11" s="1081">
        <v>0</v>
      </c>
    </row>
    <row r="12" spans="1:61" ht="11.25" hidden="1" customHeight="1">
      <c r="A12" s="1289"/>
      <c r="B12" s="1289"/>
      <c r="C12" s="1289"/>
      <c r="D12" s="1289"/>
      <c r="E12" s="5382"/>
      <c r="F12" s="5382"/>
      <c r="G12" s="5382"/>
      <c r="H12" s="5382"/>
      <c r="I12" s="5384"/>
      <c r="J12" s="5384"/>
      <c r="K12" s="5383"/>
      <c r="L12" s="1290"/>
      <c r="P12" s="5385"/>
      <c r="Q12" s="5385"/>
      <c r="R12" s="5451"/>
      <c r="S12" s="5450"/>
      <c r="T12" s="5470"/>
      <c r="U12" s="237"/>
      <c r="V12" s="1319"/>
      <c r="W12" s="1320" t="str">
        <f>Z8&amp;"-"&amp;AB8</f>
        <v>-</v>
      </c>
      <c r="X12" s="1319"/>
      <c r="Y12" s="1320" t="str">
        <f>AB8&amp;"-"&amp;AD8</f>
        <v>-да</v>
      </c>
      <c r="Z12" s="1319"/>
      <c r="AA12" s="1319"/>
      <c r="AB12" s="1319"/>
      <c r="AC12" s="1319"/>
      <c r="AD12" s="5250"/>
      <c r="AE12" s="249"/>
      <c r="AF12" s="251"/>
      <c r="AG12" s="352" t="s">
        <v>537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5406"/>
      <c r="BE12" s="436"/>
      <c r="BF12" s="436" t="str">
        <f t="shared" ref="BF12:BF18" si="1">IF(T12="","",T12)</f>
        <v/>
      </c>
      <c r="BG12" s="436"/>
      <c r="BH12" s="436"/>
      <c r="BI12" s="1081">
        <v>0</v>
      </c>
    </row>
    <row r="13" spans="1:61" ht="11.25" hidden="1" customHeight="1">
      <c r="A13" s="1289"/>
      <c r="B13" s="1289"/>
      <c r="C13" s="1289"/>
      <c r="D13" s="1289"/>
      <c r="E13" s="5382"/>
      <c r="F13" s="5382"/>
      <c r="G13" s="5382"/>
      <c r="H13" s="5382"/>
      <c r="I13" s="5384"/>
      <c r="J13" s="5383"/>
      <c r="K13" s="1289"/>
      <c r="L13" s="1290"/>
      <c r="P13" s="5385"/>
      <c r="Q13" s="5385"/>
      <c r="R13" s="292"/>
      <c r="S13" s="1204"/>
      <c r="T13" s="224" t="s">
        <v>500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5407"/>
      <c r="BE13" s="436"/>
      <c r="BF13" s="436" t="str">
        <f t="shared" si="1"/>
        <v>Добавить строку</v>
      </c>
      <c r="BG13" s="436"/>
      <c r="BH13" s="436"/>
      <c r="BI13" s="1081">
        <v>0</v>
      </c>
    </row>
    <row r="14" spans="1:61" s="1568" customFormat="1" ht="14.25" hidden="1" customHeight="1">
      <c r="A14" s="1269"/>
      <c r="B14" s="1269"/>
      <c r="C14" s="1269"/>
      <c r="D14" s="1269"/>
      <c r="E14" s="5382"/>
      <c r="F14" s="5382"/>
      <c r="G14" s="5382"/>
      <c r="H14" s="5382"/>
      <c r="I14" s="5383"/>
      <c r="J14" s="1269"/>
      <c r="K14" s="1269"/>
      <c r="L14" s="1272"/>
      <c r="M14" s="446"/>
      <c r="N14" s="446"/>
      <c r="O14" s="446"/>
      <c r="P14" s="5385"/>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5382"/>
      <c r="F15" s="5382"/>
      <c r="G15" s="5382"/>
      <c r="H15" s="538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5382"/>
      <c r="F16" s="5382"/>
      <c r="G16" s="538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5382"/>
      <c r="F17" s="5381"/>
      <c r="G17" s="1240"/>
      <c r="H17" s="1240"/>
      <c r="I17" s="1240"/>
      <c r="J17" s="1240"/>
      <c r="K17" s="1240"/>
      <c r="L17" s="1420"/>
      <c r="M17" s="1247"/>
      <c r="N17" s="1247"/>
      <c r="P17" s="1242"/>
      <c r="Q17" s="1243"/>
      <c r="R17" s="1242"/>
      <c r="S17" s="1248"/>
      <c r="T17" s="1251" t="s">
        <v>164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5381"/>
      <c r="F18" s="1269"/>
      <c r="G18" s="1269"/>
      <c r="H18" s="1269"/>
      <c r="I18" s="1269"/>
      <c r="J18" s="1269"/>
      <c r="K18" s="1269"/>
      <c r="L18" s="1272"/>
      <c r="M18" s="1247"/>
      <c r="N18" s="1247"/>
      <c r="O18" s="454"/>
      <c r="P18" s="316"/>
      <c r="Q18" s="1270"/>
      <c r="R18" s="316"/>
      <c r="S18" s="1248"/>
      <c r="T18" s="1251" t="s">
        <v>165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65</v>
      </c>
      <c r="AZ20" s="1661"/>
      <c r="BA20" s="1411" t="s">
        <v>65</v>
      </c>
      <c r="BI20" s="1081">
        <v>0</v>
      </c>
    </row>
    <row r="21" spans="1:61" ht="14.25" hidden="1" customHeight="1">
      <c r="BD21" s="432"/>
      <c r="BE21" s="432"/>
      <c r="BF21" s="432"/>
      <c r="BG21" s="432"/>
      <c r="BH21" s="432"/>
      <c r="BI21" s="1081">
        <v>0</v>
      </c>
    </row>
    <row r="22" spans="1:61" ht="14.25" hidden="1" customHeight="1">
      <c r="O22" s="1293" t="s">
        <v>441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442</v>
      </c>
      <c r="P24" s="1434"/>
      <c r="Q24" s="1436"/>
      <c r="R24" s="1436"/>
      <c r="AA24" s="1433" t="s">
        <v>444</v>
      </c>
      <c r="AC24" s="1433" t="s">
        <v>445</v>
      </c>
      <c r="AD24" s="1433" t="s">
        <v>501</v>
      </c>
      <c r="AH24" s="1433" t="s">
        <v>501</v>
      </c>
      <c r="AK24" s="1433" t="s">
        <v>538</v>
      </c>
      <c r="AL24" s="1433" t="s">
        <v>501</v>
      </c>
      <c r="AP24" s="1433" t="s">
        <v>501</v>
      </c>
      <c r="AY24" s="1433" t="s">
        <v>444</v>
      </c>
      <c r="BA24" s="1433" t="s">
        <v>445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5359"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5359"/>
      <c r="U28" s="5359"/>
      <c r="V28" s="5359"/>
      <c r="W28" s="5359"/>
      <c r="X28" s="5359"/>
      <c r="Y28" s="5359"/>
      <c r="Z28" s="5359"/>
      <c r="AA28" s="5359"/>
      <c r="AB28" s="5359"/>
      <c r="AC28" s="5359"/>
      <c r="AD28" s="5359"/>
      <c r="AE28" s="5359"/>
      <c r="AF28" s="5359"/>
      <c r="AG28" s="5359"/>
      <c r="AH28" s="5359"/>
      <c r="AI28" s="5359"/>
      <c r="AJ28" s="5359"/>
      <c r="AK28" s="5359"/>
      <c r="AL28" s="5359"/>
      <c r="AM28" s="5359"/>
      <c r="AN28" s="5359"/>
      <c r="AO28" s="5359"/>
      <c r="AP28" s="5359"/>
      <c r="AQ28" s="5359"/>
      <c r="AR28" s="5359"/>
      <c r="AS28" s="5359"/>
      <c r="AT28" s="5359"/>
      <c r="AU28" s="5359"/>
      <c r="AV28" s="5359"/>
      <c r="AW28" s="5359"/>
      <c r="AX28" s="5359"/>
      <c r="AY28" s="5359"/>
      <c r="AZ28" s="5359"/>
      <c r="BA28" s="1169"/>
      <c r="BI28" s="1081">
        <v>14</v>
      </c>
    </row>
    <row r="29" spans="1:61" ht="14.65" customHeight="1">
      <c r="Q29" s="228"/>
      <c r="R29" s="312"/>
      <c r="S29" s="5331" t="str">
        <f>IF(org=0,"Не определено",org)</f>
        <v>ПАО "ТГК-1" филиал "Невский"</v>
      </c>
      <c r="T29" s="5331"/>
      <c r="U29" s="5331"/>
      <c r="V29" s="5331"/>
      <c r="W29" s="5331"/>
      <c r="X29" s="5331"/>
      <c r="Y29" s="5331"/>
      <c r="Z29" s="5331"/>
      <c r="AA29" s="5331"/>
      <c r="AB29" s="5331"/>
      <c r="AC29" s="5331"/>
      <c r="AD29" s="5331"/>
      <c r="AE29" s="5331"/>
      <c r="AF29" s="5331"/>
      <c r="AG29" s="5331"/>
      <c r="AH29" s="5331"/>
      <c r="AI29" s="5331"/>
      <c r="AJ29" s="5331"/>
      <c r="AK29" s="5331"/>
      <c r="AL29" s="5331"/>
      <c r="AM29" s="5331"/>
      <c r="AN29" s="5331"/>
      <c r="AO29" s="5331"/>
      <c r="AP29" s="5331"/>
      <c r="AQ29" s="5331"/>
      <c r="AR29" s="5331"/>
      <c r="AS29" s="5331"/>
      <c r="AT29" s="5331"/>
      <c r="AU29" s="5331"/>
      <c r="AV29" s="5331"/>
      <c r="AW29" s="5331"/>
      <c r="AX29" s="5331"/>
      <c r="AY29" s="5331"/>
      <c r="AZ29" s="5331"/>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5370" t="s">
        <v>42</v>
      </c>
      <c r="T31" s="5370"/>
      <c r="U31" s="1298"/>
      <c r="V31" s="5372" t="str">
        <f>IF(TITLE_NAME_OR_PR_CHANGE="",IF(TITLE_NAME_OR_PR="","",TITLE_NAME_OR_PR),TITLE_NAME_OR_PR_CHANGE)</f>
        <v>Комитет по тарифам Санкт-Петербурга</v>
      </c>
      <c r="W31" s="5372"/>
      <c r="X31" s="5372"/>
      <c r="Y31" s="5372"/>
      <c r="Z31" s="5372"/>
      <c r="AA31" s="5372"/>
      <c r="AB31" s="5372"/>
      <c r="AC31" s="263"/>
      <c r="AD31" s="5372" t="str">
        <f>IF(TITLE_NAME_OR_PR_CHANGE="",IF(TITLE_NAME_OR_PR="","",TITLE_NAME_OR_PR),TITLE_NAME_OR_PR_CHANGE)</f>
        <v>Комитет по тарифам Санкт-Петербурга</v>
      </c>
      <c r="AE31" s="5372"/>
      <c r="AF31" s="5372"/>
      <c r="AG31" s="5372"/>
      <c r="AH31" s="5372"/>
      <c r="AI31" s="5372"/>
      <c r="AJ31" s="5372"/>
      <c r="AK31" s="5372"/>
      <c r="AL31" s="5372"/>
      <c r="AM31" s="5372"/>
      <c r="AN31" s="5372"/>
      <c r="AO31" s="5372"/>
      <c r="AP31" s="5372"/>
      <c r="AQ31" s="5372"/>
      <c r="AR31" s="5372"/>
      <c r="AS31" s="5372"/>
      <c r="AT31" s="5372"/>
      <c r="AU31" s="5372"/>
      <c r="AV31" s="5372"/>
      <c r="AW31" s="5372"/>
      <c r="AX31" s="5372"/>
      <c r="AY31" s="5372"/>
      <c r="AZ31" s="5372"/>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5370" t="s">
        <v>447</v>
      </c>
      <c r="T32" s="5370"/>
      <c r="U32" s="1298"/>
      <c r="V32" s="5371">
        <f>IF(TITLE_DATE_PR_CHANGE="",IF(TITLE_DATE_PR="","",TITLE_DATE_PR),TITLE_DATE_PR_CHANGE)</f>
        <v>45470</v>
      </c>
      <c r="W32" s="5371"/>
      <c r="X32" s="5371"/>
      <c r="Y32" s="5371"/>
      <c r="Z32" s="5371"/>
      <c r="AA32" s="5371"/>
      <c r="AB32" s="5371"/>
      <c r="AC32" s="263"/>
      <c r="AD32" s="5371">
        <f>IF(TITLE_DATE_PR_CHANGE="",IF(TITLE_DATE_PR="","",TITLE_DATE_PR),TITLE_DATE_PR_CHANGE)</f>
        <v>45470</v>
      </c>
      <c r="AE32" s="5371"/>
      <c r="AF32" s="5371"/>
      <c r="AG32" s="5371"/>
      <c r="AH32" s="5371"/>
      <c r="AI32" s="5371"/>
      <c r="AJ32" s="5371"/>
      <c r="AK32" s="5371"/>
      <c r="AL32" s="5371"/>
      <c r="AM32" s="5371"/>
      <c r="AN32" s="5371"/>
      <c r="AO32" s="5371"/>
      <c r="AP32" s="5371"/>
      <c r="AQ32" s="5371"/>
      <c r="AR32" s="5371"/>
      <c r="AS32" s="5371"/>
      <c r="AT32" s="5371"/>
      <c r="AU32" s="5371"/>
      <c r="AV32" s="5371"/>
      <c r="AW32" s="5371"/>
      <c r="AX32" s="5371"/>
      <c r="AY32" s="5371"/>
      <c r="AZ32" s="5371"/>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5370" t="s">
        <v>448</v>
      </c>
      <c r="T33" s="5370"/>
      <c r="U33" s="1298"/>
      <c r="V33" s="5372" t="str">
        <f>IF(TITLE_NUMBER_PR_CHANGE="",IF(TITLE_NUMBER_PR="","",TITLE_NUMBER_PR),TITLE_NUMBER_PR_CHANGE)</f>
        <v>94-р</v>
      </c>
      <c r="W33" s="5372"/>
      <c r="X33" s="5372"/>
      <c r="Y33" s="5372"/>
      <c r="Z33" s="5372"/>
      <c r="AA33" s="5372"/>
      <c r="AB33" s="5372"/>
      <c r="AC33" s="263"/>
      <c r="AD33" s="5372" t="str">
        <f>IF(TITLE_NUMBER_PR_CHANGE="",IF(TITLE_NUMBER_PR="","",TITLE_NUMBER_PR),TITLE_NUMBER_PR_CHANGE)</f>
        <v>94-р</v>
      </c>
      <c r="AE33" s="5372"/>
      <c r="AF33" s="5372"/>
      <c r="AG33" s="5372"/>
      <c r="AH33" s="5372"/>
      <c r="AI33" s="5372"/>
      <c r="AJ33" s="5372"/>
      <c r="AK33" s="5372"/>
      <c r="AL33" s="5372"/>
      <c r="AM33" s="5372"/>
      <c r="AN33" s="5372"/>
      <c r="AO33" s="5372"/>
      <c r="AP33" s="5372"/>
      <c r="AQ33" s="5372"/>
      <c r="AR33" s="5372"/>
      <c r="AS33" s="5372"/>
      <c r="AT33" s="5372"/>
      <c r="AU33" s="5372"/>
      <c r="AV33" s="5372"/>
      <c r="AW33" s="5372"/>
      <c r="AX33" s="5372"/>
      <c r="AY33" s="5372"/>
      <c r="AZ33" s="5372"/>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5370" t="s">
        <v>44</v>
      </c>
      <c r="T34" s="5370"/>
      <c r="U34" s="1298"/>
      <c r="V34" s="5372" t="str">
        <f>IF(TITLE_IST_PUB_CHANGE="",IF(TITLE_IST_PUB="","",TITLE_IST_PUB),TITLE_IST_PUB_CHANGE)</f>
        <v>http://publication.pravo.gov.ru/document/7801202407010029</v>
      </c>
      <c r="W34" s="5372"/>
      <c r="X34" s="5372"/>
      <c r="Y34" s="5372"/>
      <c r="Z34" s="5372"/>
      <c r="AA34" s="5372"/>
      <c r="AB34" s="5372"/>
      <c r="AC34" s="263"/>
      <c r="AD34" s="5372" t="str">
        <f>IF(TITLE_IST_PUB_CHANGE="",IF(TITLE_IST_PUB="","",TITLE_IST_PUB),TITLE_IST_PUB_CHANGE)</f>
        <v>http://publication.pravo.gov.ru/document/7801202407010029</v>
      </c>
      <c r="AE34" s="5372"/>
      <c r="AF34" s="5372"/>
      <c r="AG34" s="5372"/>
      <c r="AH34" s="5372"/>
      <c r="AI34" s="5372"/>
      <c r="AJ34" s="5372"/>
      <c r="AK34" s="5372"/>
      <c r="AL34" s="5372"/>
      <c r="AM34" s="5372"/>
      <c r="AN34" s="5372"/>
      <c r="AO34" s="5372"/>
      <c r="AP34" s="5372"/>
      <c r="AQ34" s="5372"/>
      <c r="AR34" s="5372"/>
      <c r="AS34" s="5372"/>
      <c r="AT34" s="5372"/>
      <c r="AU34" s="5372"/>
      <c r="AV34" s="5372"/>
      <c r="AW34" s="5372"/>
      <c r="AX34" s="5372"/>
      <c r="AY34" s="5372"/>
      <c r="AZ34" s="5372"/>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5370" t="s">
        <v>447</v>
      </c>
      <c r="T36" s="5370"/>
      <c r="U36" s="1298"/>
      <c r="V36" s="5371">
        <f>IF(TITLE_DATE_PR_CHANGE="",IF(TITLE_DATE_PR="","",TITLE_DATE_PR),TITLE_DATE_PR_CHANGE)</f>
        <v>45470</v>
      </c>
      <c r="W36" s="5371"/>
      <c r="X36" s="5371"/>
      <c r="Y36" s="5371"/>
      <c r="Z36" s="5371"/>
      <c r="AA36" s="5371"/>
      <c r="AB36" s="5371"/>
      <c r="AC36" s="263"/>
      <c r="AD36" s="5371">
        <f>IF(TITLE_DATE_PR_CHANGE="",IF(TITLE_DATE_PR="","",TITLE_DATE_PR),TITLE_DATE_PR_CHANGE)</f>
        <v>45470</v>
      </c>
      <c r="AE36" s="5371"/>
      <c r="AF36" s="5371"/>
      <c r="AG36" s="5371"/>
      <c r="AH36" s="5371"/>
      <c r="AI36" s="5371"/>
      <c r="AJ36" s="5371"/>
      <c r="AK36" s="5371"/>
      <c r="AL36" s="5371"/>
      <c r="AM36" s="5371"/>
      <c r="AN36" s="5371"/>
      <c r="AO36" s="5371"/>
      <c r="AP36" s="5371"/>
      <c r="AQ36" s="5371"/>
      <c r="AR36" s="5371"/>
      <c r="AS36" s="5371"/>
      <c r="AT36" s="5371"/>
      <c r="AU36" s="5371"/>
      <c r="AV36" s="5371"/>
      <c r="AW36" s="5371"/>
      <c r="AX36" s="5371"/>
      <c r="AY36" s="5371"/>
      <c r="AZ36" s="5371"/>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5370" t="s">
        <v>448</v>
      </c>
      <c r="T37" s="5370"/>
      <c r="U37" s="1298"/>
      <c r="V37" s="5372" t="str">
        <f>IF(TITLE_NUMBER_PR_CHANGE="",IF(TITLE_NUMBER_PR="","",TITLE_NUMBER_PR),TITLE_NUMBER_PR_CHANGE)</f>
        <v>94-р</v>
      </c>
      <c r="W37" s="5372"/>
      <c r="X37" s="5372"/>
      <c r="Y37" s="5372"/>
      <c r="Z37" s="5372"/>
      <c r="AA37" s="5372"/>
      <c r="AB37" s="5372"/>
      <c r="AC37" s="263"/>
      <c r="AD37" s="5372" t="str">
        <f>IF(TITLE_NUMBER_PR_CHANGE="",IF(TITLE_NUMBER_PR="","",TITLE_NUMBER_PR),TITLE_NUMBER_PR_CHANGE)</f>
        <v>94-р</v>
      </c>
      <c r="AE37" s="5372"/>
      <c r="AF37" s="5372"/>
      <c r="AG37" s="5372"/>
      <c r="AH37" s="5372"/>
      <c r="AI37" s="5372"/>
      <c r="AJ37" s="5372"/>
      <c r="AK37" s="5372"/>
      <c r="AL37" s="5372"/>
      <c r="AM37" s="5372"/>
      <c r="AN37" s="5372"/>
      <c r="AO37" s="5372"/>
      <c r="AP37" s="5372"/>
      <c r="AQ37" s="5372"/>
      <c r="AR37" s="5372"/>
      <c r="AS37" s="5372"/>
      <c r="AT37" s="5372"/>
      <c r="AU37" s="5372"/>
      <c r="AV37" s="5372"/>
      <c r="AW37" s="5372"/>
      <c r="AX37" s="5372"/>
      <c r="AY37" s="5372"/>
      <c r="AZ37" s="5372"/>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451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451</v>
      </c>
      <c r="BD38" s="304"/>
      <c r="BE38" s="304"/>
      <c r="BF38" s="304"/>
      <c r="BG38" s="304"/>
      <c r="BH38" s="304"/>
      <c r="BI38" s="354">
        <v>0</v>
      </c>
    </row>
    <row r="39" spans="1:61" ht="14.65" customHeight="1">
      <c r="Q39" s="228"/>
      <c r="R39" s="312"/>
      <c r="S39" s="1201"/>
      <c r="T39" s="299"/>
      <c r="U39" s="1170"/>
      <c r="V39" s="5393"/>
      <c r="W39" s="5393"/>
      <c r="X39" s="5393"/>
      <c r="Y39" s="5393"/>
      <c r="Z39" s="5393"/>
      <c r="AA39" s="5393"/>
      <c r="AB39" s="5393"/>
      <c r="AC39" s="5393"/>
      <c r="AD39" s="5393"/>
      <c r="AE39" s="5393"/>
      <c r="AF39" s="5393"/>
      <c r="AG39" s="5393"/>
      <c r="AH39" s="5393"/>
      <c r="AI39" s="5393"/>
      <c r="AJ39" s="5393"/>
      <c r="AK39" s="5393"/>
      <c r="AL39" s="5393"/>
      <c r="AM39" s="5393"/>
      <c r="AN39" s="5393"/>
      <c r="AO39" s="5393"/>
      <c r="AP39" s="5393"/>
      <c r="AQ39" s="5393"/>
      <c r="AR39" s="5393"/>
      <c r="AS39" s="5393"/>
      <c r="AT39" s="5393"/>
      <c r="AU39" s="5393"/>
      <c r="AV39" s="5393"/>
      <c r="AW39" s="5393"/>
      <c r="AX39" s="5393"/>
      <c r="AY39" s="5393"/>
      <c r="AZ39" s="5393"/>
      <c r="BA39" s="5393"/>
      <c r="BI39" s="1081">
        <v>14</v>
      </c>
    </row>
    <row r="40" spans="1:61" ht="14.65" customHeight="1">
      <c r="Q40" s="228"/>
      <c r="R40" s="312"/>
      <c r="S40" s="5235" t="s">
        <v>327</v>
      </c>
      <c r="T40" s="5235"/>
      <c r="U40" s="5235"/>
      <c r="V40" s="5235"/>
      <c r="W40" s="5235"/>
      <c r="X40" s="5235"/>
      <c r="Y40" s="5235"/>
      <c r="Z40" s="5235"/>
      <c r="AA40" s="5235"/>
      <c r="AB40" s="5235"/>
      <c r="AC40" s="5235"/>
      <c r="AD40" s="5235"/>
      <c r="AE40" s="5235"/>
      <c r="AF40" s="5235"/>
      <c r="AG40" s="5235"/>
      <c r="AH40" s="5235"/>
      <c r="AI40" s="5235"/>
      <c r="AJ40" s="5235"/>
      <c r="AK40" s="5235"/>
      <c r="AL40" s="5235"/>
      <c r="AM40" s="5235"/>
      <c r="AN40" s="5235"/>
      <c r="AO40" s="5235"/>
      <c r="AP40" s="5235"/>
      <c r="AQ40" s="5235"/>
      <c r="AR40" s="5235"/>
      <c r="AS40" s="5235"/>
      <c r="AT40" s="5235"/>
      <c r="AU40" s="5235"/>
      <c r="AV40" s="5235"/>
      <c r="AW40" s="5235"/>
      <c r="AX40" s="5235"/>
      <c r="AY40" s="5235"/>
      <c r="AZ40" s="5235"/>
      <c r="BA40" s="5235"/>
      <c r="BB40" s="5235"/>
      <c r="BC40" s="5235" t="s">
        <v>328</v>
      </c>
      <c r="BI40" s="1081">
        <v>14</v>
      </c>
    </row>
    <row r="41" spans="1:61" ht="14.65" customHeight="1">
      <c r="Q41" s="228"/>
      <c r="R41" s="312"/>
      <c r="S41" s="5395" t="s">
        <v>90</v>
      </c>
      <c r="T41" s="5339" t="s">
        <v>539</v>
      </c>
      <c r="U41" s="238"/>
      <c r="V41" s="5396" t="s">
        <v>453</v>
      </c>
      <c r="W41" s="5397"/>
      <c r="X41" s="5397"/>
      <c r="Y41" s="5397"/>
      <c r="Z41" s="5397"/>
      <c r="AA41" s="5397"/>
      <c r="AB41" s="5398"/>
      <c r="AC41" s="5399" t="s">
        <v>454</v>
      </c>
      <c r="AD41" s="5437" t="s">
        <v>556</v>
      </c>
      <c r="AE41" s="5419"/>
      <c r="AF41" s="5419"/>
      <c r="AG41" s="5438"/>
      <c r="AH41" s="5437" t="s">
        <v>557</v>
      </c>
      <c r="AI41" s="5419"/>
      <c r="AJ41" s="5419"/>
      <c r="AK41" s="5438"/>
      <c r="AL41" s="5437" t="s">
        <v>558</v>
      </c>
      <c r="AM41" s="5419"/>
      <c r="AN41" s="5419"/>
      <c r="AO41" s="5438"/>
      <c r="AP41" s="5437" t="s">
        <v>543</v>
      </c>
      <c r="AQ41" s="5419"/>
      <c r="AR41" s="5419"/>
      <c r="AS41" s="5438"/>
      <c r="AT41" s="5396" t="s">
        <v>453</v>
      </c>
      <c r="AU41" s="5397"/>
      <c r="AV41" s="5397"/>
      <c r="AW41" s="5397"/>
      <c r="AX41" s="5397"/>
      <c r="AY41" s="5397"/>
      <c r="AZ41" s="5398"/>
      <c r="BA41" s="5399" t="s">
        <v>454</v>
      </c>
      <c r="BB41" s="5402" t="s">
        <v>456</v>
      </c>
      <c r="BC41" s="5235"/>
      <c r="BI41" s="1081">
        <v>14</v>
      </c>
    </row>
    <row r="42" spans="1:61" ht="35.65" customHeight="1">
      <c r="Q42" s="228"/>
      <c r="R42" s="312"/>
      <c r="S42" s="5395"/>
      <c r="T42" s="5339"/>
      <c r="U42" s="960"/>
      <c r="V42" s="5312" t="s">
        <v>544</v>
      </c>
      <c r="W42" s="5313"/>
      <c r="X42" s="5312" t="s">
        <v>545</v>
      </c>
      <c r="Y42" s="5313"/>
      <c r="Z42" s="5312" t="s">
        <v>546</v>
      </c>
      <c r="AA42" s="5432"/>
      <c r="AB42" s="5313"/>
      <c r="AC42" s="5400"/>
      <c r="AD42" s="5439"/>
      <c r="AE42" s="5440"/>
      <c r="AF42" s="5440"/>
      <c r="AG42" s="5452"/>
      <c r="AH42" s="5439"/>
      <c r="AI42" s="5440"/>
      <c r="AJ42" s="5440"/>
      <c r="AK42" s="5452"/>
      <c r="AL42" s="5439"/>
      <c r="AM42" s="5440"/>
      <c r="AN42" s="5440"/>
      <c r="AO42" s="5452"/>
      <c r="AP42" s="5439"/>
      <c r="AQ42" s="5440"/>
      <c r="AR42" s="5440"/>
      <c r="AS42" s="5452"/>
      <c r="AT42" s="5312" t="s">
        <v>559</v>
      </c>
      <c r="AU42" s="5313"/>
      <c r="AV42" s="5312" t="s">
        <v>560</v>
      </c>
      <c r="AW42" s="5313"/>
      <c r="AX42" s="5312" t="s">
        <v>546</v>
      </c>
      <c r="AY42" s="5432"/>
      <c r="AZ42" s="5313"/>
      <c r="BA42" s="5400"/>
      <c r="BB42" s="5403"/>
      <c r="BC42" s="5235"/>
      <c r="BI42" s="1081">
        <v>34</v>
      </c>
    </row>
    <row r="43" spans="1:61" ht="14.65" customHeight="1">
      <c r="Q43" s="228"/>
      <c r="R43" s="312"/>
      <c r="S43" s="5395"/>
      <c r="T43" s="5339"/>
      <c r="U43" s="960"/>
      <c r="V43" s="5317"/>
      <c r="W43" s="5318"/>
      <c r="X43" s="5317"/>
      <c r="Y43" s="5318"/>
      <c r="Z43" s="5317"/>
      <c r="AA43" s="5433"/>
      <c r="AB43" s="5318"/>
      <c r="AC43" s="5400"/>
      <c r="AD43" s="5439"/>
      <c r="AE43" s="5440"/>
      <c r="AF43" s="5440"/>
      <c r="AG43" s="5452"/>
      <c r="AH43" s="5439"/>
      <c r="AI43" s="5440"/>
      <c r="AJ43" s="5440"/>
      <c r="AK43" s="5452"/>
      <c r="AL43" s="5439"/>
      <c r="AM43" s="5440"/>
      <c r="AN43" s="5440"/>
      <c r="AO43" s="5452"/>
      <c r="AP43" s="5439"/>
      <c r="AQ43" s="5440"/>
      <c r="AR43" s="5440"/>
      <c r="AS43" s="5452"/>
      <c r="AT43" s="5317"/>
      <c r="AU43" s="5318"/>
      <c r="AV43" s="5317"/>
      <c r="AW43" s="5318"/>
      <c r="AX43" s="5317"/>
      <c r="AY43" s="5433"/>
      <c r="AZ43" s="5318"/>
      <c r="BA43" s="5400"/>
      <c r="BB43" s="5403"/>
      <c r="BC43" s="5235"/>
      <c r="BI43" s="1081">
        <v>14</v>
      </c>
    </row>
    <row r="44" spans="1:61" ht="14.65" customHeight="1">
      <c r="A44" s="1296"/>
      <c r="B44" s="1296" t="s">
        <v>137</v>
      </c>
      <c r="C44" s="1296" t="s">
        <v>138</v>
      </c>
      <c r="D44" s="1296" t="s">
        <v>139</v>
      </c>
      <c r="E44" s="1290" t="s">
        <v>461</v>
      </c>
      <c r="F44" s="1290" t="s">
        <v>462</v>
      </c>
      <c r="G44" s="1290" t="s">
        <v>463</v>
      </c>
      <c r="H44" s="1290" t="s">
        <v>464</v>
      </c>
      <c r="I44" s="1290" t="s">
        <v>465</v>
      </c>
      <c r="J44" s="1290" t="s">
        <v>466</v>
      </c>
      <c r="K44" s="1290" t="s">
        <v>467</v>
      </c>
      <c r="L44" s="1290" t="s">
        <v>442</v>
      </c>
      <c r="Q44" s="228"/>
      <c r="R44" s="312"/>
      <c r="S44" s="5395"/>
      <c r="T44" s="5339"/>
      <c r="U44" s="239"/>
      <c r="V44" s="1405" t="s">
        <v>510</v>
      </c>
      <c r="W44" s="1405" t="s">
        <v>511</v>
      </c>
      <c r="X44" s="1405" t="s">
        <v>510</v>
      </c>
      <c r="Y44" s="1405" t="s">
        <v>511</v>
      </c>
      <c r="Z44" s="1415" t="s">
        <v>470</v>
      </c>
      <c r="AA44" s="5344" t="s">
        <v>471</v>
      </c>
      <c r="AB44" s="5358"/>
      <c r="AC44" s="5401"/>
      <c r="AD44" s="5441"/>
      <c r="AE44" s="5442"/>
      <c r="AF44" s="5442"/>
      <c r="AG44" s="5443"/>
      <c r="AH44" s="5441"/>
      <c r="AI44" s="5442"/>
      <c r="AJ44" s="5442"/>
      <c r="AK44" s="5443"/>
      <c r="AL44" s="5441"/>
      <c r="AM44" s="5442"/>
      <c r="AN44" s="5442"/>
      <c r="AO44" s="5443"/>
      <c r="AP44" s="5441"/>
      <c r="AQ44" s="5442"/>
      <c r="AR44" s="5442"/>
      <c r="AS44" s="5443"/>
      <c r="AT44" s="1405" t="s">
        <v>510</v>
      </c>
      <c r="AU44" s="1405" t="s">
        <v>511</v>
      </c>
      <c r="AV44" s="1405" t="s">
        <v>510</v>
      </c>
      <c r="AW44" s="1405" t="s">
        <v>511</v>
      </c>
      <c r="AX44" s="1415" t="s">
        <v>470</v>
      </c>
      <c r="AY44" s="5344" t="s">
        <v>471</v>
      </c>
      <c r="AZ44" s="5358"/>
      <c r="BA44" s="5401"/>
      <c r="BB44" s="5404"/>
      <c r="BC44" s="5235"/>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5392">
        <f t="shared" ca="1" si="2"/>
        <v>8</v>
      </c>
      <c r="AB45" s="539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5392">
        <f ca="1">OFFSET(AY45,0,-1)+1</f>
        <v>3</v>
      </c>
      <c r="AZ45" s="5392"/>
      <c r="BA45" s="1408">
        <f ca="1">OFFSET(BA45,0,-2)+1</f>
        <v>4</v>
      </c>
      <c r="BB45" s="1171">
        <f ca="1">OFFSET(BB45,0,-1)</f>
        <v>4</v>
      </c>
      <c r="BC45" s="1408">
        <f ca="1">OFFSET(BC45,0,-1)+1</f>
        <v>5</v>
      </c>
      <c r="BD45" s="447"/>
      <c r="BE45" s="447"/>
      <c r="BF45" s="447"/>
      <c r="BG45" s="447"/>
      <c r="BH45" s="447"/>
      <c r="BI45" s="432">
        <v>0</v>
      </c>
    </row>
    <row r="46" spans="1:61" ht="21.95" customHeight="1">
      <c r="A46" s="1289" t="s">
        <v>303</v>
      </c>
      <c r="B46" s="1289"/>
      <c r="C46" s="1289"/>
      <c r="D46" s="1289"/>
      <c r="E46" s="5381">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5374"/>
      <c r="W46" s="5374"/>
      <c r="X46" s="5374"/>
      <c r="Y46" s="5374"/>
      <c r="Z46" s="5374"/>
      <c r="AA46" s="5374"/>
      <c r="AB46" s="5374"/>
      <c r="AC46" s="5375"/>
      <c r="AD46" s="5373" t="str">
        <f>INDEX(PT_DIFFERENTIATION_NTAR,MATCH(A46,PT_DIFFERENTIATION_NTAR_ID,0))</f>
        <v/>
      </c>
      <c r="AE46" s="5374"/>
      <c r="AF46" s="5374"/>
      <c r="AG46" s="5374"/>
      <c r="AH46" s="5374"/>
      <c r="AI46" s="5374"/>
      <c r="AJ46" s="5374"/>
      <c r="AK46" s="5374"/>
      <c r="AL46" s="5374"/>
      <c r="AM46" s="5374"/>
      <c r="AN46" s="5374"/>
      <c r="AO46" s="5374"/>
      <c r="AP46" s="5374"/>
      <c r="AQ46" s="5374"/>
      <c r="AR46" s="5374"/>
      <c r="AS46" s="5374"/>
      <c r="AT46" s="5374"/>
      <c r="AU46" s="5374"/>
      <c r="AV46" s="5374"/>
      <c r="AW46" s="5374"/>
      <c r="AX46" s="5374"/>
      <c r="AY46" s="5374"/>
      <c r="AZ46" s="5374"/>
      <c r="BA46" s="5374"/>
      <c r="BB46" s="537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303</v>
      </c>
      <c r="B47" s="1289" t="s">
        <v>304</v>
      </c>
      <c r="C47" s="1289"/>
      <c r="D47" s="1289"/>
      <c r="E47" s="5382"/>
      <c r="F47" s="5381">
        <v>1</v>
      </c>
      <c r="G47" s="1289"/>
      <c r="H47" s="1289"/>
      <c r="I47" s="1289"/>
      <c r="J47" s="1289"/>
      <c r="K47" s="1289"/>
      <c r="L47" s="1290"/>
      <c r="M47" s="1291"/>
      <c r="N47" s="1291"/>
      <c r="O47" s="1291"/>
      <c r="P47" s="1336"/>
      <c r="Q47" s="1337"/>
      <c r="R47" s="289"/>
      <c r="S47" s="1419" t="str">
        <f>INDEX(PT_DIFFERENTIATION_NUM_TER,MATCH(B47,PT_DIFFERENTIATION_TER_ID,0))</f>
        <v>.</v>
      </c>
      <c r="T47" s="245" t="s">
        <v>424</v>
      </c>
      <c r="U47" s="237"/>
      <c r="V47" s="5374"/>
      <c r="W47" s="5374"/>
      <c r="X47" s="5374"/>
      <c r="Y47" s="5374"/>
      <c r="Z47" s="5374"/>
      <c r="AA47" s="5374"/>
      <c r="AB47" s="5374"/>
      <c r="AC47" s="5375"/>
      <c r="AD47" s="5373" t="str">
        <f>INDEX(PT_DIFFERENTIATION_TER,MATCH(B47,PT_DIFFERENTIATION_TER_ID,0))</f>
        <v/>
      </c>
      <c r="AE47" s="5374"/>
      <c r="AF47" s="5374"/>
      <c r="AG47" s="5374"/>
      <c r="AH47" s="5374"/>
      <c r="AI47" s="5374"/>
      <c r="AJ47" s="5374"/>
      <c r="AK47" s="5374"/>
      <c r="AL47" s="5374"/>
      <c r="AM47" s="5374"/>
      <c r="AN47" s="5374"/>
      <c r="AO47" s="5374"/>
      <c r="AP47" s="5374"/>
      <c r="AQ47" s="5374"/>
      <c r="AR47" s="5374"/>
      <c r="AS47" s="5374"/>
      <c r="AT47" s="5374"/>
      <c r="AU47" s="5374"/>
      <c r="AV47" s="5374"/>
      <c r="AW47" s="5374"/>
      <c r="AX47" s="5374"/>
      <c r="AY47" s="5374"/>
      <c r="AZ47" s="5374"/>
      <c r="BA47" s="5374"/>
      <c r="BB47" s="5375"/>
      <c r="BC47" s="1184" t="s">
        <v>425</v>
      </c>
      <c r="BE47" s="436"/>
      <c r="BF47" s="436" t="str">
        <f t="shared" si="3"/>
        <v>Территория действия тарифа</v>
      </c>
      <c r="BG47" s="436"/>
      <c r="BH47" s="436"/>
      <c r="BI47" s="1081">
        <v>21</v>
      </c>
    </row>
    <row r="48" spans="1:61" ht="35.65" customHeight="1">
      <c r="A48" s="1289" t="s">
        <v>303</v>
      </c>
      <c r="B48" s="1289" t="s">
        <v>304</v>
      </c>
      <c r="C48" s="1289" t="s">
        <v>305</v>
      </c>
      <c r="D48" s="1289"/>
      <c r="E48" s="5382"/>
      <c r="F48" s="5382"/>
      <c r="G48" s="5381">
        <v>1</v>
      </c>
      <c r="H48" s="1289"/>
      <c r="I48" s="1289"/>
      <c r="J48" s="1289"/>
      <c r="K48" s="1289"/>
      <c r="L48" s="1290"/>
      <c r="M48" s="1291"/>
      <c r="N48" s="1291"/>
      <c r="O48" s="1291"/>
      <c r="P48" s="1338"/>
      <c r="Q48" s="1337"/>
      <c r="R48" s="289"/>
      <c r="S48" s="1419" t="str">
        <f>INDEX(PT_DIFFERENTIATION_NUM_CS,MATCH(C48,PT_DIFFERENTIATION_CS_ID,0))</f>
        <v>..</v>
      </c>
      <c r="T48" s="246" t="s">
        <v>548</v>
      </c>
      <c r="U48" s="237"/>
      <c r="V48" s="5374"/>
      <c r="W48" s="5374"/>
      <c r="X48" s="5374"/>
      <c r="Y48" s="5374"/>
      <c r="Z48" s="5374"/>
      <c r="AA48" s="5374"/>
      <c r="AB48" s="5374"/>
      <c r="AC48" s="5375"/>
      <c r="AD48" s="5373" t="str">
        <f>INDEX(PT_DIFFERENTIATION_CS,MATCH(C48,PT_DIFFERENTIATION_CS_ID,0))</f>
        <v/>
      </c>
      <c r="AE48" s="5374"/>
      <c r="AF48" s="5374"/>
      <c r="AG48" s="5374"/>
      <c r="AH48" s="5374"/>
      <c r="AI48" s="5374"/>
      <c r="AJ48" s="5374"/>
      <c r="AK48" s="5374"/>
      <c r="AL48" s="5374"/>
      <c r="AM48" s="5374"/>
      <c r="AN48" s="5374"/>
      <c r="AO48" s="5374"/>
      <c r="AP48" s="5374"/>
      <c r="AQ48" s="5374"/>
      <c r="AR48" s="5374"/>
      <c r="AS48" s="5374"/>
      <c r="AT48" s="5374"/>
      <c r="AU48" s="5374"/>
      <c r="AV48" s="5374"/>
      <c r="AW48" s="5374"/>
      <c r="AX48" s="5374"/>
      <c r="AY48" s="5374"/>
      <c r="AZ48" s="5374"/>
      <c r="BA48" s="5374"/>
      <c r="BB48" s="5375"/>
      <c r="BC48" s="1184" t="s">
        <v>549</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303</v>
      </c>
      <c r="B49" s="1269" t="s">
        <v>304</v>
      </c>
      <c r="C49" s="1269" t="s">
        <v>305</v>
      </c>
      <c r="D49" s="1269" t="s">
        <v>561</v>
      </c>
      <c r="E49" s="5382"/>
      <c r="F49" s="5382"/>
      <c r="G49" s="5382"/>
      <c r="H49" s="5381">
        <v>1</v>
      </c>
      <c r="I49" s="1269"/>
      <c r="J49" s="1269"/>
      <c r="K49" s="1269"/>
      <c r="L49" s="1272"/>
      <c r="M49" s="1241"/>
      <c r="N49" s="1241"/>
      <c r="O49" s="1241"/>
      <c r="P49" s="1423"/>
      <c r="Q49" s="1424"/>
      <c r="R49" s="293"/>
      <c r="S49" s="971"/>
      <c r="T49" s="1425"/>
      <c r="U49" s="1310"/>
      <c r="V49" s="5421"/>
      <c r="W49" s="5421"/>
      <c r="X49" s="5421"/>
      <c r="Y49" s="5421"/>
      <c r="Z49" s="5421"/>
      <c r="AA49" s="5421"/>
      <c r="AB49" s="5421"/>
      <c r="AC49" s="5422"/>
      <c r="AD49" s="5420"/>
      <c r="AE49" s="5421"/>
      <c r="AF49" s="5421"/>
      <c r="AG49" s="5421"/>
      <c r="AH49" s="5421"/>
      <c r="AI49" s="5421"/>
      <c r="AJ49" s="5421"/>
      <c r="AK49" s="5421"/>
      <c r="AL49" s="5421"/>
      <c r="AM49" s="5421"/>
      <c r="AN49" s="5421"/>
      <c r="AO49" s="5421"/>
      <c r="AP49" s="5421"/>
      <c r="AQ49" s="5421"/>
      <c r="AR49" s="5421"/>
      <c r="AS49" s="5421"/>
      <c r="AT49" s="5421"/>
      <c r="AU49" s="5421"/>
      <c r="AV49" s="5421"/>
      <c r="AW49" s="5421"/>
      <c r="AX49" s="5421"/>
      <c r="AY49" s="5421"/>
      <c r="AZ49" s="5421"/>
      <c r="BA49" s="5421"/>
      <c r="BB49" s="5422"/>
      <c r="BC49" s="1311" t="s">
        <v>429</v>
      </c>
      <c r="BE49" s="436"/>
      <c r="BF49" s="436" t="str">
        <f t="shared" si="3"/>
        <v/>
      </c>
      <c r="BG49" s="436"/>
      <c r="BH49" s="436"/>
      <c r="BI49" s="447">
        <v>0</v>
      </c>
    </row>
    <row r="50" spans="1:61" s="1568" customFormat="1" ht="0" hidden="1" customHeight="1">
      <c r="A50" s="1269" t="s">
        <v>303</v>
      </c>
      <c r="B50" s="1269" t="s">
        <v>304</v>
      </c>
      <c r="C50" s="1269" t="s">
        <v>305</v>
      </c>
      <c r="D50" s="1269" t="s">
        <v>561</v>
      </c>
      <c r="E50" s="5382"/>
      <c r="F50" s="5382"/>
      <c r="G50" s="5382"/>
      <c r="H50" s="5382"/>
      <c r="I50" s="5383" t="str">
        <f>S49&amp;".1"</f>
        <v>.1</v>
      </c>
      <c r="J50" s="1269"/>
      <c r="K50" s="1269"/>
      <c r="L50" s="1272" t="s">
        <v>430</v>
      </c>
      <c r="M50" s="446"/>
      <c r="N50" s="446"/>
      <c r="O50" s="446"/>
      <c r="P50" s="5385">
        <v>1</v>
      </c>
      <c r="Q50" s="1407"/>
      <c r="R50" s="292"/>
      <c r="S50" s="971"/>
      <c r="T50" s="1309"/>
      <c r="U50" s="1310"/>
      <c r="V50" s="5421"/>
      <c r="W50" s="5421"/>
      <c r="X50" s="5421"/>
      <c r="Y50" s="5421"/>
      <c r="Z50" s="5421"/>
      <c r="AA50" s="5421"/>
      <c r="AB50" s="5421"/>
      <c r="AC50" s="5422"/>
      <c r="AD50" s="5420"/>
      <c r="AE50" s="5421"/>
      <c r="AF50" s="5421"/>
      <c r="AG50" s="5421"/>
      <c r="AH50" s="5421"/>
      <c r="AI50" s="5421"/>
      <c r="AJ50" s="5421"/>
      <c r="AK50" s="5421"/>
      <c r="AL50" s="5421"/>
      <c r="AM50" s="5421"/>
      <c r="AN50" s="5421"/>
      <c r="AO50" s="5421"/>
      <c r="AP50" s="5421"/>
      <c r="AQ50" s="5421"/>
      <c r="AR50" s="5421"/>
      <c r="AS50" s="5421"/>
      <c r="AT50" s="5421"/>
      <c r="AU50" s="5421"/>
      <c r="AV50" s="5421"/>
      <c r="AW50" s="5421"/>
      <c r="AX50" s="5421"/>
      <c r="AY50" s="5421"/>
      <c r="AZ50" s="5421"/>
      <c r="BA50" s="5421"/>
      <c r="BB50" s="5422"/>
      <c r="BC50" s="1311"/>
      <c r="BE50" s="436"/>
      <c r="BF50" s="436" t="str">
        <f t="shared" si="3"/>
        <v/>
      </c>
      <c r="BG50" s="436"/>
      <c r="BH50" s="436"/>
      <c r="BI50" s="447">
        <v>0</v>
      </c>
    </row>
    <row r="51" spans="1:61" s="1568" customFormat="1" ht="0" hidden="1" customHeight="1">
      <c r="A51" s="1269" t="s">
        <v>303</v>
      </c>
      <c r="B51" s="1269" t="s">
        <v>304</v>
      </c>
      <c r="C51" s="1269" t="s">
        <v>305</v>
      </c>
      <c r="D51" s="1269" t="s">
        <v>561</v>
      </c>
      <c r="E51" s="5382"/>
      <c r="F51" s="5382"/>
      <c r="G51" s="5382"/>
      <c r="H51" s="5382"/>
      <c r="I51" s="5384"/>
      <c r="J51" s="5383" t="str">
        <f>S49&amp;".1"</f>
        <v>.1</v>
      </c>
      <c r="K51" s="1269"/>
      <c r="L51" s="1272"/>
      <c r="M51" s="446"/>
      <c r="N51" s="446"/>
      <c r="O51" s="446"/>
      <c r="P51" s="5385"/>
      <c r="Q51" s="5385">
        <v>1</v>
      </c>
      <c r="R51" s="293"/>
      <c r="S51" s="971"/>
      <c r="T51" s="1325"/>
      <c r="U51" s="1310"/>
      <c r="V51" s="5421"/>
      <c r="W51" s="5421"/>
      <c r="X51" s="5421"/>
      <c r="Y51" s="5421"/>
      <c r="Z51" s="5421"/>
      <c r="AA51" s="5421"/>
      <c r="AB51" s="5421"/>
      <c r="AC51" s="5422"/>
      <c r="AD51" s="5420"/>
      <c r="AE51" s="5421"/>
      <c r="AF51" s="5421"/>
      <c r="AG51" s="5421"/>
      <c r="AH51" s="5421"/>
      <c r="AI51" s="5421"/>
      <c r="AJ51" s="5421"/>
      <c r="AK51" s="5421"/>
      <c r="AL51" s="5421"/>
      <c r="AM51" s="5421"/>
      <c r="AN51" s="5474"/>
      <c r="AO51" s="5474"/>
      <c r="AP51" s="5421"/>
      <c r="AQ51" s="5421"/>
      <c r="AR51" s="5421"/>
      <c r="AS51" s="5421"/>
      <c r="AT51" s="5421"/>
      <c r="AU51" s="5421"/>
      <c r="AV51" s="5421"/>
      <c r="AW51" s="5421"/>
      <c r="AX51" s="5421"/>
      <c r="AY51" s="5421"/>
      <c r="AZ51" s="5421"/>
      <c r="BA51" s="5421"/>
      <c r="BB51" s="5422"/>
      <c r="BC51" s="1311"/>
      <c r="BE51" s="436"/>
      <c r="BF51" s="436" t="str">
        <f t="shared" si="3"/>
        <v/>
      </c>
      <c r="BG51" s="436"/>
      <c r="BH51" s="436"/>
      <c r="BI51" s="447">
        <v>0</v>
      </c>
    </row>
    <row r="52" spans="1:61" ht="11.45" customHeight="1">
      <c r="A52" s="1289" t="s">
        <v>303</v>
      </c>
      <c r="B52" s="1289" t="s">
        <v>304</v>
      </c>
      <c r="C52" s="1289" t="s">
        <v>305</v>
      </c>
      <c r="D52" s="1289" t="s">
        <v>561</v>
      </c>
      <c r="E52" s="5382"/>
      <c r="F52" s="5382"/>
      <c r="G52" s="5382"/>
      <c r="H52" s="5382"/>
      <c r="I52" s="5384"/>
      <c r="J52" s="5384"/>
      <c r="K52" s="5383" t="str">
        <f>S48&amp;".1"</f>
        <v>...1</v>
      </c>
      <c r="L52" s="1290"/>
      <c r="P52" s="5385"/>
      <c r="Q52" s="5385"/>
      <c r="R52" s="293">
        <v>1</v>
      </c>
      <c r="S52" s="5448" t="str">
        <f>$K52</f>
        <v>...1</v>
      </c>
      <c r="T52" s="5468"/>
      <c r="U52" s="237"/>
      <c r="V52" s="687"/>
      <c r="W52" s="1183"/>
      <c r="X52" s="687"/>
      <c r="Y52" s="1183"/>
      <c r="Z52" s="1659"/>
      <c r="AA52" s="1395" t="s">
        <v>65</v>
      </c>
      <c r="AB52" s="1659"/>
      <c r="AC52" s="1395" t="s">
        <v>65</v>
      </c>
      <c r="AD52" s="5303" t="s">
        <v>65</v>
      </c>
      <c r="AE52" s="5444"/>
      <c r="AF52" s="5335">
        <v>1</v>
      </c>
      <c r="AG52" s="5467"/>
      <c r="AH52" s="5245" t="s">
        <v>65</v>
      </c>
      <c r="AI52" s="5444"/>
      <c r="AJ52" s="5335">
        <v>1</v>
      </c>
      <c r="AK52" s="5458" t="s">
        <v>28</v>
      </c>
      <c r="AL52" s="5245" t="s">
        <v>65</v>
      </c>
      <c r="AM52" s="5312"/>
      <c r="AN52" s="5335">
        <v>1</v>
      </c>
      <c r="AO52" s="5471"/>
      <c r="AP52" s="5472" t="s">
        <v>65</v>
      </c>
      <c r="AQ52" s="248"/>
      <c r="AR52" s="1412">
        <v>1</v>
      </c>
      <c r="AS52" s="1418" t="s">
        <v>28</v>
      </c>
      <c r="AT52" s="687"/>
      <c r="AU52" s="1183"/>
      <c r="AV52" s="687"/>
      <c r="AW52" s="1183"/>
      <c r="AX52" s="1659"/>
      <c r="AY52" s="1395" t="s">
        <v>65</v>
      </c>
      <c r="AZ52" s="1659"/>
      <c r="BA52" s="1395" t="s">
        <v>65</v>
      </c>
      <c r="BB52" s="1274"/>
      <c r="BC52" s="5405" t="s">
        <v>533</v>
      </c>
      <c r="BE52" s="436"/>
      <c r="BF52" s="436" t="str">
        <f t="shared" si="3"/>
        <v/>
      </c>
      <c r="BG52" s="436"/>
      <c r="BH52" s="436"/>
      <c r="BI52" s="1081">
        <v>11</v>
      </c>
    </row>
    <row r="53" spans="1:61" ht="11.45" customHeight="1">
      <c r="A53" s="1289"/>
      <c r="B53" s="1289"/>
      <c r="C53" s="1289"/>
      <c r="D53" s="1289"/>
      <c r="E53" s="5382"/>
      <c r="F53" s="5382"/>
      <c r="G53" s="5382"/>
      <c r="H53" s="5382"/>
      <c r="I53" s="5384"/>
      <c r="J53" s="5384"/>
      <c r="K53" s="5383"/>
      <c r="L53" s="1290"/>
      <c r="P53" s="5385"/>
      <c r="Q53" s="5385"/>
      <c r="R53" s="293"/>
      <c r="S53" s="5449"/>
      <c r="T53" s="5469"/>
      <c r="U53" s="237"/>
      <c r="V53" s="1319"/>
      <c r="W53" s="1422"/>
      <c r="X53" s="1319"/>
      <c r="Y53" s="1422"/>
      <c r="Z53" s="1319"/>
      <c r="AA53" s="1319"/>
      <c r="AB53" s="1319"/>
      <c r="AC53" s="1319"/>
      <c r="AD53" s="5304"/>
      <c r="AE53" s="5444"/>
      <c r="AF53" s="5335"/>
      <c r="AG53" s="5467"/>
      <c r="AH53" s="5245"/>
      <c r="AI53" s="5444"/>
      <c r="AJ53" s="5335"/>
      <c r="AK53" s="5458"/>
      <c r="AL53" s="5245"/>
      <c r="AM53" s="5317"/>
      <c r="AN53" s="5335"/>
      <c r="AO53" s="5471"/>
      <c r="AP53" s="5473"/>
      <c r="AQ53" s="253"/>
      <c r="AR53" s="352"/>
      <c r="AS53" s="352" t="s">
        <v>534</v>
      </c>
      <c r="AT53" s="1319"/>
      <c r="AU53" s="1422"/>
      <c r="AV53" s="1319"/>
      <c r="AW53" s="1422"/>
      <c r="AX53" s="1319"/>
      <c r="AY53" s="1319"/>
      <c r="AZ53" s="1319"/>
      <c r="BA53" s="1319"/>
      <c r="BB53" s="1323"/>
      <c r="BC53" s="5406"/>
      <c r="BE53" s="436"/>
      <c r="BF53" s="436"/>
      <c r="BG53" s="436"/>
      <c r="BH53" s="436"/>
      <c r="BI53" s="1081">
        <v>11</v>
      </c>
    </row>
    <row r="54" spans="1:61" ht="11.45" customHeight="1">
      <c r="A54" s="1289" t="s">
        <v>303</v>
      </c>
      <c r="B54" s="1289"/>
      <c r="C54" s="1289"/>
      <c r="D54" s="1289"/>
      <c r="E54" s="5382"/>
      <c r="F54" s="5382"/>
      <c r="G54" s="5382"/>
      <c r="H54" s="5382"/>
      <c r="I54" s="5384"/>
      <c r="J54" s="5384"/>
      <c r="K54" s="5383"/>
      <c r="L54" s="1290"/>
      <c r="P54" s="5385"/>
      <c r="Q54" s="5385"/>
      <c r="R54" s="293"/>
      <c r="S54" s="5449"/>
      <c r="T54" s="5469"/>
      <c r="U54" s="237"/>
      <c r="V54" s="1319"/>
      <c r="W54" s="1422"/>
      <c r="X54" s="1319"/>
      <c r="Y54" s="1422"/>
      <c r="Z54" s="1319"/>
      <c r="AA54" s="1319"/>
      <c r="AB54" s="1319"/>
      <c r="AC54" s="1319"/>
      <c r="AD54" s="5304"/>
      <c r="AE54" s="5444"/>
      <c r="AF54" s="5335"/>
      <c r="AG54" s="5467"/>
      <c r="AH54" s="5245"/>
      <c r="AI54" s="5444"/>
      <c r="AJ54" s="5335"/>
      <c r="AK54" s="5458"/>
      <c r="AL54" s="5245"/>
      <c r="AM54" s="253"/>
      <c r="AN54" s="1426"/>
      <c r="AO54" s="1426" t="s">
        <v>554</v>
      </c>
      <c r="AP54" s="352"/>
      <c r="AQ54" s="352"/>
      <c r="AR54" s="352"/>
      <c r="AS54" s="1319"/>
      <c r="AT54" s="1319"/>
      <c r="AU54" s="1422"/>
      <c r="AV54" s="1319"/>
      <c r="AW54" s="1422"/>
      <c r="AX54" s="1319"/>
      <c r="AY54" s="1319"/>
      <c r="AZ54" s="1319"/>
      <c r="BA54" s="1319"/>
      <c r="BB54" s="1323"/>
      <c r="BC54" s="5406"/>
      <c r="BE54" s="436"/>
      <c r="BF54" s="436"/>
      <c r="BG54" s="436"/>
      <c r="BH54" s="436"/>
      <c r="BI54" s="1081">
        <v>11</v>
      </c>
    </row>
    <row r="55" spans="1:61" ht="11.45" customHeight="1">
      <c r="A55" s="1289" t="s">
        <v>303</v>
      </c>
      <c r="B55" s="1289"/>
      <c r="C55" s="1289"/>
      <c r="D55" s="1289"/>
      <c r="E55" s="5382"/>
      <c r="F55" s="5382"/>
      <c r="G55" s="5382"/>
      <c r="H55" s="5382"/>
      <c r="I55" s="5384"/>
      <c r="J55" s="5384"/>
      <c r="K55" s="5383"/>
      <c r="L55" s="1290"/>
      <c r="P55" s="5385"/>
      <c r="Q55" s="5385"/>
      <c r="R55" s="293"/>
      <c r="S55" s="5449"/>
      <c r="T55" s="5469"/>
      <c r="U55" s="237"/>
      <c r="V55" s="1319"/>
      <c r="W55" s="1422"/>
      <c r="X55" s="1319"/>
      <c r="Y55" s="1422"/>
      <c r="Z55" s="1319"/>
      <c r="AA55" s="1319"/>
      <c r="AB55" s="1319"/>
      <c r="AC55" s="1319"/>
      <c r="AD55" s="5304"/>
      <c r="AE55" s="5444"/>
      <c r="AF55" s="5335"/>
      <c r="AG55" s="5467"/>
      <c r="AH55" s="5245"/>
      <c r="AI55" s="231"/>
      <c r="AJ55" s="351"/>
      <c r="AK55" s="250" t="s">
        <v>555</v>
      </c>
      <c r="AL55" s="1319"/>
      <c r="AM55" s="1319"/>
      <c r="AN55" s="1319"/>
      <c r="AO55" s="1319"/>
      <c r="AP55" s="1319"/>
      <c r="AQ55" s="1319"/>
      <c r="AR55" s="1319"/>
      <c r="AS55" s="1319"/>
      <c r="AT55" s="1319"/>
      <c r="AU55" s="1422"/>
      <c r="AV55" s="1319"/>
      <c r="AW55" s="1422"/>
      <c r="AX55" s="1319"/>
      <c r="AY55" s="1319"/>
      <c r="AZ55" s="1319"/>
      <c r="BA55" s="1319"/>
      <c r="BB55" s="1323"/>
      <c r="BC55" s="5406"/>
      <c r="BE55" s="436"/>
      <c r="BF55" s="436"/>
      <c r="BG55" s="436"/>
      <c r="BH55" s="436"/>
      <c r="BI55" s="1081">
        <v>11</v>
      </c>
    </row>
    <row r="56" spans="1:61" ht="11.45" customHeight="1">
      <c r="A56" s="1289" t="s">
        <v>303</v>
      </c>
      <c r="B56" s="1289" t="s">
        <v>304</v>
      </c>
      <c r="C56" s="1289" t="s">
        <v>305</v>
      </c>
      <c r="D56" s="1289" t="s">
        <v>561</v>
      </c>
      <c r="E56" s="5382"/>
      <c r="F56" s="5382"/>
      <c r="G56" s="5382"/>
      <c r="H56" s="5382"/>
      <c r="I56" s="5384"/>
      <c r="J56" s="5384"/>
      <c r="K56" s="5383"/>
      <c r="L56" s="1290"/>
      <c r="P56" s="5385"/>
      <c r="Q56" s="5385"/>
      <c r="R56" s="293"/>
      <c r="S56" s="5450"/>
      <c r="T56" s="5470"/>
      <c r="U56" s="237"/>
      <c r="V56" s="1319"/>
      <c r="W56" s="1320" t="str">
        <f>Z52&amp;"-"&amp;AB52</f>
        <v>-</v>
      </c>
      <c r="X56" s="1319"/>
      <c r="Y56" s="1320" t="str">
        <f>AB52&amp;"-"&amp;AD52</f>
        <v>-да</v>
      </c>
      <c r="Z56" s="1319"/>
      <c r="AA56" s="1319"/>
      <c r="AB56" s="1319"/>
      <c r="AC56" s="1319"/>
      <c r="AD56" s="5250"/>
      <c r="AE56" s="249"/>
      <c r="AF56" s="251"/>
      <c r="AG56" s="352" t="s">
        <v>537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5406"/>
      <c r="BE56" s="436"/>
      <c r="BF56" s="436" t="str">
        <f t="shared" ref="BF56:BF63" si="4">IF(T56="","",T56)</f>
        <v/>
      </c>
      <c r="BG56" s="436"/>
      <c r="BH56" s="436"/>
      <c r="BI56" s="1081">
        <v>11</v>
      </c>
    </row>
    <row r="57" spans="1:61" ht="11.45" customHeight="1">
      <c r="A57" s="1289" t="s">
        <v>303</v>
      </c>
      <c r="B57" s="1289" t="s">
        <v>304</v>
      </c>
      <c r="C57" s="1289" t="s">
        <v>305</v>
      </c>
      <c r="D57" s="1289" t="s">
        <v>561</v>
      </c>
      <c r="E57" s="5382"/>
      <c r="F57" s="5382"/>
      <c r="G57" s="5382"/>
      <c r="H57" s="5382"/>
      <c r="I57" s="5384"/>
      <c r="J57" s="5383"/>
      <c r="K57" s="1289"/>
      <c r="L57" s="1290"/>
      <c r="P57" s="5385"/>
      <c r="Q57" s="5385"/>
      <c r="R57" s="292"/>
      <c r="S57" s="1204"/>
      <c r="T57" s="224" t="s">
        <v>500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5407"/>
      <c r="BE57" s="436"/>
      <c r="BF57" s="436" t="str">
        <f t="shared" si="4"/>
        <v>Добавить строку</v>
      </c>
      <c r="BG57" s="436"/>
      <c r="BH57" s="436"/>
      <c r="BI57" s="1081">
        <v>11</v>
      </c>
    </row>
    <row r="58" spans="1:61" s="1568" customFormat="1" ht="0" hidden="1" customHeight="1">
      <c r="A58" s="1269" t="s">
        <v>303</v>
      </c>
      <c r="B58" s="1269" t="s">
        <v>304</v>
      </c>
      <c r="C58" s="1269" t="s">
        <v>305</v>
      </c>
      <c r="D58" s="1269" t="s">
        <v>561</v>
      </c>
      <c r="E58" s="5382"/>
      <c r="F58" s="5382"/>
      <c r="G58" s="5382"/>
      <c r="H58" s="5382"/>
      <c r="I58" s="5383"/>
      <c r="J58" s="1269"/>
      <c r="K58" s="1269"/>
      <c r="L58" s="1272"/>
      <c r="M58" s="446"/>
      <c r="N58" s="446"/>
      <c r="O58" s="446"/>
      <c r="P58" s="5385"/>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303</v>
      </c>
      <c r="B59" s="1269" t="s">
        <v>304</v>
      </c>
      <c r="C59" s="1269" t="s">
        <v>305</v>
      </c>
      <c r="D59" s="1269" t="s">
        <v>561</v>
      </c>
      <c r="E59" s="5382"/>
      <c r="F59" s="5382"/>
      <c r="G59" s="5382"/>
      <c r="H59" s="538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303</v>
      </c>
      <c r="B60" s="1269" t="s">
        <v>304</v>
      </c>
      <c r="C60" s="1269" t="s">
        <v>305</v>
      </c>
      <c r="D60" s="1240"/>
      <c r="E60" s="5382"/>
      <c r="F60" s="5382"/>
      <c r="G60" s="538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303</v>
      </c>
      <c r="B61" s="1269" t="s">
        <v>304</v>
      </c>
      <c r="C61" s="1240"/>
      <c r="D61" s="1240"/>
      <c r="E61" s="5382"/>
      <c r="F61" s="5381"/>
      <c r="G61" s="1240"/>
      <c r="H61" s="1240"/>
      <c r="I61" s="1240"/>
      <c r="J61" s="1240"/>
      <c r="K61" s="1240"/>
      <c r="L61" s="1420"/>
      <c r="M61" s="1247"/>
      <c r="N61" s="1247"/>
      <c r="P61" s="1242"/>
      <c r="Q61" s="1243"/>
      <c r="R61" s="1242"/>
      <c r="S61" s="1248"/>
      <c r="T61" s="1251" t="s">
        <v>164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303</v>
      </c>
      <c r="B62" s="1269"/>
      <c r="C62" s="1269"/>
      <c r="D62" s="1269"/>
      <c r="E62" s="5381"/>
      <c r="F62" s="1269"/>
      <c r="G62" s="1269"/>
      <c r="H62" s="1269"/>
      <c r="I62" s="1269"/>
      <c r="J62" s="1269"/>
      <c r="K62" s="1269"/>
      <c r="L62" s="1272"/>
      <c r="M62" s="1247"/>
      <c r="N62" s="1247"/>
      <c r="O62" s="454"/>
      <c r="P62" s="316"/>
      <c r="Q62" s="1270"/>
      <c r="R62" s="316"/>
      <c r="S62" s="1248"/>
      <c r="T62" s="1251" t="s">
        <v>165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182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5379"/>
      <c r="U65" s="5379"/>
      <c r="V65" s="5379"/>
      <c r="W65" s="5379"/>
      <c r="X65" s="5379"/>
      <c r="Y65" s="5379"/>
      <c r="Z65" s="5379"/>
      <c r="AA65" s="5379"/>
      <c r="AB65" s="5379"/>
      <c r="AC65" s="5379"/>
      <c r="AD65" s="5379"/>
      <c r="AE65" s="5379"/>
      <c r="AF65" s="5379"/>
      <c r="AG65" s="5379"/>
      <c r="AH65" s="5379"/>
      <c r="AI65" s="5379"/>
      <c r="AJ65" s="5379"/>
      <c r="AK65" s="5379"/>
      <c r="AL65" s="5379"/>
      <c r="AM65" s="5379"/>
      <c r="AN65" s="5379"/>
      <c r="AO65" s="5379"/>
      <c r="AP65" s="5379"/>
      <c r="AQ65" s="5379"/>
      <c r="AR65" s="5379"/>
      <c r="AS65" s="5379"/>
      <c r="AT65" s="5379"/>
      <c r="AU65" s="5379"/>
      <c r="AV65" s="5379"/>
      <c r="AW65" s="5379"/>
      <c r="AX65" s="5379"/>
      <c r="AY65" s="5379"/>
      <c r="AZ65" s="5379"/>
      <c r="BA65" s="5379"/>
      <c r="BB65" s="5379"/>
      <c r="BC65" s="5379"/>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5379"/>
      <c r="U67" s="5379"/>
      <c r="V67" s="5379"/>
      <c r="W67" s="5379"/>
      <c r="X67" s="5379"/>
      <c r="Y67" s="5379"/>
      <c r="Z67" s="5379"/>
      <c r="AA67" s="5379"/>
      <c r="AB67" s="5379"/>
      <c r="AC67" s="5379"/>
      <c r="AD67" s="5379"/>
      <c r="AE67" s="5379"/>
      <c r="AF67" s="5379"/>
      <c r="AG67" s="5379"/>
      <c r="AH67" s="5379"/>
      <c r="AI67" s="5379"/>
      <c r="AJ67" s="5379"/>
      <c r="AK67" s="5379"/>
      <c r="AL67" s="5379"/>
      <c r="AM67" s="5379"/>
      <c r="AN67" s="5379"/>
      <c r="AO67" s="5379"/>
      <c r="AP67" s="5379"/>
      <c r="AQ67" s="5379"/>
      <c r="AR67" s="5379"/>
      <c r="AS67" s="5379"/>
      <c r="AT67" s="5379"/>
      <c r="AU67" s="5379"/>
      <c r="AV67" s="5379"/>
      <c r="AW67" s="5379"/>
      <c r="AX67" s="5379"/>
      <c r="AY67" s="5379"/>
      <c r="AZ67" s="5379"/>
      <c r="BA67" s="5379"/>
      <c r="BB67" s="5379"/>
      <c r="BC67" s="5379"/>
      <c r="BI67" s="1081">
        <v>14</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85</v>
      </c>
      <c r="H1" s="430" t="s">
        <v>86</v>
      </c>
      <c r="I1" s="164" t="s">
        <v>87</v>
      </c>
      <c r="J1" s="184" t="s">
        <v>85</v>
      </c>
      <c r="K1" s="184"/>
      <c r="L1" s="184"/>
      <c r="M1" s="184"/>
      <c r="N1" s="185"/>
      <c r="O1" s="184"/>
      <c r="P1" s="184"/>
      <c r="Q1" s="184"/>
      <c r="R1" s="184"/>
      <c r="S1" s="184"/>
      <c r="T1" s="164"/>
      <c r="U1" s="164"/>
      <c r="V1" s="164"/>
      <c r="W1" s="164"/>
      <c r="X1" s="164"/>
      <c r="Y1" s="164"/>
      <c r="Z1" s="164"/>
      <c r="AA1" s="164"/>
      <c r="AB1" s="164"/>
      <c r="AC1" s="90"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2"/>
      <c r="E3" s="43"/>
      <c r="F3" s="445"/>
      <c r="G3" s="43"/>
      <c r="H3" s="43"/>
      <c r="I3" s="104"/>
      <c r="J3" s="184"/>
      <c r="K3" s="93"/>
      <c r="L3" s="93"/>
      <c r="M3" s="93"/>
      <c r="N3" s="163"/>
      <c r="O3" s="93"/>
      <c r="P3" s="162"/>
      <c r="Q3" s="162"/>
      <c r="R3" s="162"/>
      <c r="S3" s="162"/>
      <c r="AC3" s="56">
        <v>3</v>
      </c>
    </row>
    <row r="4" spans="1:29" s="1744" customFormat="1" ht="27.4" customHeight="1">
      <c r="A4" s="692"/>
      <c r="B4" s="353"/>
      <c r="C4" s="692"/>
      <c r="D4" s="102"/>
      <c r="E4" s="5221" t="str">
        <f>NameTemplatesInListMO</f>
        <v>Перечень муниципальных районов и муниципальных образований (территорий действия тарифа)</v>
      </c>
      <c r="F4" s="5221"/>
      <c r="G4" s="5221"/>
      <c r="H4" s="5221"/>
      <c r="I4" s="5221"/>
      <c r="J4" s="184"/>
      <c r="K4" s="93"/>
      <c r="L4" s="93"/>
      <c r="M4" s="93"/>
      <c r="N4" s="163"/>
      <c r="O4" s="93"/>
      <c r="P4" s="162"/>
      <c r="Q4" s="162"/>
      <c r="R4" s="162"/>
      <c r="S4" s="162"/>
      <c r="AC4" s="56">
        <v>26</v>
      </c>
    </row>
    <row r="5" spans="1:29" s="1744" customFormat="1" ht="3" customHeight="1">
      <c r="A5" s="692"/>
      <c r="B5" s="353"/>
      <c r="C5" s="692"/>
      <c r="D5" s="102"/>
      <c r="E5" s="43"/>
      <c r="F5" s="445"/>
      <c r="G5" s="105"/>
      <c r="H5" s="105"/>
      <c r="I5" s="106"/>
      <c r="J5" s="93"/>
      <c r="K5" s="93"/>
      <c r="L5" s="93"/>
      <c r="M5" s="93"/>
      <c r="N5" s="163"/>
      <c r="O5" s="93"/>
      <c r="P5" s="162"/>
      <c r="Q5" s="162"/>
      <c r="R5" s="162"/>
      <c r="S5" s="162"/>
      <c r="AC5" s="56">
        <v>3</v>
      </c>
    </row>
    <row r="6" spans="1:29" s="1744" customFormat="1" ht="20.25" hidden="1" customHeight="1">
      <c r="A6" s="767"/>
      <c r="B6" s="763"/>
      <c r="C6" s="107"/>
      <c r="D6" s="102"/>
      <c r="E6" s="710"/>
      <c r="F6" s="710"/>
      <c r="G6" s="105"/>
      <c r="H6" s="108"/>
      <c r="I6" s="108"/>
      <c r="J6" s="93"/>
      <c r="K6" s="93"/>
      <c r="L6" s="93"/>
      <c r="M6" s="93"/>
      <c r="N6" s="163"/>
      <c r="O6" s="93"/>
      <c r="P6" s="162"/>
      <c r="Q6" s="162"/>
      <c r="R6" s="162"/>
      <c r="S6" s="162"/>
      <c r="AC6" s="56">
        <v>0</v>
      </c>
    </row>
    <row r="7" spans="1:29" ht="25.5" hidden="1" customHeight="1">
      <c r="AC7" s="23">
        <v>0</v>
      </c>
    </row>
    <row r="8" spans="1:29" s="1744" customFormat="1" ht="14.65" customHeight="1">
      <c r="A8" s="692"/>
      <c r="B8" s="353"/>
      <c r="C8" s="692"/>
      <c r="D8" s="102"/>
      <c r="E8" s="5217" t="s">
        <v>88</v>
      </c>
      <c r="F8" s="5222"/>
      <c r="G8" s="5216"/>
      <c r="H8" s="5223" t="s">
        <v>89</v>
      </c>
      <c r="I8" s="5223"/>
      <c r="J8" s="93"/>
      <c r="K8" s="93"/>
      <c r="L8" s="93"/>
      <c r="M8" s="93"/>
      <c r="N8" s="163"/>
      <c r="O8" s="93"/>
      <c r="P8" s="162"/>
      <c r="Q8" s="162"/>
      <c r="R8" s="162"/>
      <c r="S8" s="162"/>
      <c r="AC8" s="56">
        <v>14</v>
      </c>
    </row>
    <row r="9" spans="1:29" s="1744" customFormat="1" ht="21" customHeight="1">
      <c r="A9" s="692"/>
      <c r="B9" s="353"/>
      <c r="C9" s="692"/>
      <c r="D9" s="102"/>
      <c r="E9" s="708" t="s">
        <v>90</v>
      </c>
      <c r="F9" s="708"/>
      <c r="G9" s="110" t="s">
        <v>91</v>
      </c>
      <c r="H9" s="110" t="s">
        <v>91</v>
      </c>
      <c r="I9" s="110" t="s">
        <v>87</v>
      </c>
      <c r="J9" s="93"/>
      <c r="K9" s="93"/>
      <c r="L9" s="93"/>
      <c r="M9" s="93"/>
      <c r="N9" s="163"/>
      <c r="O9" s="93"/>
      <c r="P9" s="162"/>
      <c r="Q9" s="162"/>
      <c r="R9" s="162"/>
      <c r="S9" s="162"/>
      <c r="AC9" s="56">
        <v>20</v>
      </c>
    </row>
    <row r="10" spans="1:29" ht="11.45" customHeight="1">
      <c r="D10" s="114"/>
      <c r="E10" s="709" t="s">
        <v>92</v>
      </c>
      <c r="F10" s="709"/>
      <c r="G10" s="160" t="s">
        <v>93</v>
      </c>
      <c r="H10" s="160" t="s">
        <v>94</v>
      </c>
      <c r="I10" s="160" t="s">
        <v>95</v>
      </c>
      <c r="J10" s="124"/>
      <c r="K10" s="124"/>
      <c r="L10" s="124"/>
      <c r="M10" s="124"/>
      <c r="N10" s="109"/>
      <c r="O10" s="124"/>
      <c r="P10" s="161"/>
      <c r="Q10" s="161"/>
      <c r="R10" s="161"/>
      <c r="S10" s="161"/>
      <c r="AC10" s="23">
        <v>11</v>
      </c>
    </row>
    <row r="11" spans="1:29" s="1744" customFormat="1" ht="1.1499999999999999" customHeight="1">
      <c r="A11" s="692"/>
      <c r="B11" s="353"/>
      <c r="C11" s="692"/>
      <c r="D11" s="102"/>
      <c r="E11" s="720"/>
      <c r="F11" s="720"/>
      <c r="G11" s="111"/>
      <c r="H11" s="111"/>
      <c r="I11" s="113"/>
      <c r="J11" s="186" t="s">
        <v>96</v>
      </c>
      <c r="K11" s="93"/>
      <c r="L11" s="93"/>
      <c r="M11" s="93" t="s">
        <v>97</v>
      </c>
      <c r="N11" s="163" t="s">
        <v>98</v>
      </c>
      <c r="O11" s="93" t="s">
        <v>99</v>
      </c>
      <c r="P11" s="162"/>
      <c r="Q11" s="162"/>
      <c r="R11" s="162"/>
      <c r="S11" s="162"/>
      <c r="AC11" s="56">
        <v>1</v>
      </c>
    </row>
    <row r="12" spans="1:29" s="1744" customFormat="1" ht="15" customHeight="1">
      <c r="A12" s="5220">
        <v>1</v>
      </c>
      <c r="B12" s="353"/>
      <c r="C12" s="692"/>
      <c r="D12" s="712"/>
      <c r="E12" s="156">
        <f>A12</f>
        <v>1</v>
      </c>
      <c r="F12" s="732" t="s">
        <v>100</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5220"/>
      <c r="B13" s="353">
        <v>1</v>
      </c>
      <c r="C13" s="353"/>
      <c r="D13" s="730"/>
      <c r="E13" s="711" t="str">
        <f>A12&amp;"."&amp;B13</f>
        <v>1.1</v>
      </c>
      <c r="F13" s="725" t="s">
        <v>101</v>
      </c>
      <c r="G13" s="723" t="s">
        <v>102</v>
      </c>
      <c r="H13" s="723" t="s">
        <v>102</v>
      </c>
      <c r="I13" s="721" t="s">
        <v>103</v>
      </c>
      <c r="J13" s="436" t="e">
        <f ca="1">MERGEVALUE(G13)</f>
        <v>#NAME?</v>
      </c>
      <c r="K13" s="447"/>
      <c r="L13" s="447"/>
      <c r="M13" s="436" t="str">
        <f t="array" ref="M13">IF(ISERROR(MATCH(MID(N13,1,250),MID(note_ter,1,250),0)),"n","y")</f>
        <v>n</v>
      </c>
      <c r="N13" s="447"/>
      <c r="O13" s="436" t="str">
        <f>H13&amp;"("&amp;I13&amp;")"</f>
        <v>город Санкт-Петербург(40000000)</v>
      </c>
      <c r="P13" s="353"/>
      <c r="Q13" s="353"/>
      <c r="R13" s="356"/>
      <c r="S13" s="353"/>
      <c r="T13" s="353"/>
      <c r="U13" s="353"/>
      <c r="V13" s="358"/>
      <c r="W13" s="358"/>
      <c r="X13" s="355"/>
      <c r="Y13" s="355"/>
      <c r="Z13" s="355"/>
      <c r="AA13" s="355"/>
      <c r="AB13" s="355"/>
      <c r="AC13" s="359">
        <v>15</v>
      </c>
    </row>
    <row r="14" spans="1:29" s="1774" customFormat="1" ht="15.75" customHeight="1">
      <c r="A14" s="5220"/>
      <c r="B14" s="353"/>
      <c r="C14" s="348"/>
      <c r="D14" s="731"/>
      <c r="E14" s="357"/>
      <c r="F14" s="115"/>
      <c r="G14" s="351" t="s">
        <v>104</v>
      </c>
      <c r="H14" s="125"/>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6"/>
      <c r="G15" s="352" t="s">
        <v>105</v>
      </c>
      <c r="H15" s="116"/>
      <c r="I15" s="117"/>
      <c r="J15" s="186"/>
      <c r="K15" s="93"/>
      <c r="L15" s="93"/>
      <c r="M15" s="93"/>
      <c r="N15" s="163" t="s">
        <v>106</v>
      </c>
      <c r="O15" s="93"/>
      <c r="P15" s="162"/>
      <c r="Q15" s="162"/>
      <c r="R15" s="162"/>
      <c r="S15" s="162"/>
      <c r="AC15" s="56">
        <v>14</v>
      </c>
    </row>
    <row r="16" spans="1:29" s="1744" customFormat="1" ht="21.95" customHeight="1">
      <c r="A16" s="692"/>
      <c r="B16" s="353"/>
      <c r="C16" s="692"/>
      <c r="D16" s="103"/>
      <c r="E16" s="118"/>
      <c r="F16" s="118"/>
      <c r="G16" s="118"/>
      <c r="H16" s="118"/>
      <c r="I16" s="118"/>
      <c r="J16" s="93"/>
      <c r="K16" s="93"/>
      <c r="L16" s="93"/>
      <c r="M16" s="93"/>
      <c r="N16" s="163"/>
      <c r="O16" s="93"/>
      <c r="P16" s="162"/>
      <c r="Q16" s="162"/>
      <c r="R16" s="162"/>
      <c r="S16" s="162"/>
      <c r="AC16" s="56">
        <v>21</v>
      </c>
    </row>
    <row r="17" spans="1:29" s="1744" customFormat="1" ht="14.65" customHeight="1">
      <c r="A17" s="692"/>
      <c r="B17" s="353"/>
      <c r="C17" s="692"/>
      <c r="D17" s="103"/>
      <c r="E17" s="23"/>
      <c r="F17" s="692"/>
      <c r="G17" s="23"/>
      <c r="H17" s="23"/>
      <c r="I17" s="23"/>
      <c r="J17" s="93"/>
      <c r="K17" s="93"/>
      <c r="L17" s="93"/>
      <c r="M17" s="93"/>
      <c r="N17" s="163"/>
      <c r="O17" s="93"/>
      <c r="P17" s="162"/>
      <c r="Q17" s="162"/>
      <c r="R17" s="162"/>
      <c r="S17" s="162"/>
      <c r="AC17" s="56">
        <v>14</v>
      </c>
    </row>
    <row r="18" spans="1:29" s="1744" customFormat="1" ht="1.1499999999999999" customHeight="1">
      <c r="A18" s="692"/>
      <c r="B18" s="353"/>
      <c r="C18" s="692"/>
      <c r="D18" s="103"/>
      <c r="E18" s="23"/>
      <c r="F18" s="692"/>
      <c r="G18" s="23"/>
      <c r="H18" s="23"/>
      <c r="I18" s="23"/>
      <c r="J18" s="93"/>
      <c r="K18" s="93"/>
      <c r="L18" s="93"/>
      <c r="M18" s="93"/>
      <c r="N18" s="163"/>
      <c r="O18" s="93"/>
      <c r="P18" s="162"/>
      <c r="Q18" s="162"/>
      <c r="R18" s="162"/>
      <c r="S18" s="162"/>
      <c r="AC18" s="56">
        <v>1</v>
      </c>
    </row>
    <row r="19" spans="1:29" s="993" customFormat="1" ht="10.5" customHeight="1">
      <c r="B19" s="764"/>
      <c r="D19" s="120"/>
      <c r="J19" s="93"/>
      <c r="K19" s="93"/>
      <c r="L19" s="93"/>
      <c r="M19" s="93"/>
      <c r="N19" s="163"/>
      <c r="O19" s="93"/>
      <c r="P19" s="162"/>
      <c r="Q19" s="162"/>
      <c r="R19" s="162"/>
      <c r="S19" s="162"/>
      <c r="AC19" s="119">
        <v>10</v>
      </c>
    </row>
    <row r="20" spans="1:29" s="993" customFormat="1" ht="10.5" customHeight="1">
      <c r="B20" s="764"/>
      <c r="D20" s="120"/>
      <c r="J20" s="93"/>
      <c r="K20" s="93"/>
      <c r="L20" s="93"/>
      <c r="M20" s="93"/>
      <c r="N20" s="163"/>
      <c r="O20" s="93"/>
      <c r="P20" s="162"/>
      <c r="Q20" s="162"/>
      <c r="R20" s="162"/>
      <c r="S20" s="162"/>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84</v>
      </c>
      <c r="B29" s="353">
        <v>0</v>
      </c>
      <c r="C29" s="692">
        <v>3</v>
      </c>
      <c r="D29" s="103">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5381">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5373"/>
      <c r="W2" s="5374"/>
      <c r="X2" s="5374"/>
      <c r="Y2" s="5374"/>
      <c r="Z2" s="5374"/>
      <c r="AA2" s="5374"/>
      <c r="AB2" s="5374"/>
      <c r="AC2" s="5374"/>
      <c r="AD2" s="5374"/>
      <c r="AE2" s="5374"/>
      <c r="AF2" s="5375"/>
      <c r="AG2" s="5373" t="e">
        <f>INDEX(PT_DIFFERENTIATION_NTAR,MATCH(A2,PT_DIFFERENTIATION_NTAR_ID,0))</f>
        <v>#N/A</v>
      </c>
      <c r="AH2" s="5374"/>
      <c r="AI2" s="5374"/>
      <c r="AJ2" s="5374"/>
      <c r="AK2" s="5374"/>
      <c r="AL2" s="5374"/>
      <c r="AM2" s="5374"/>
      <c r="AN2" s="5374"/>
      <c r="AO2" s="5374"/>
      <c r="AP2" s="5374"/>
      <c r="AQ2" s="5374"/>
      <c r="AR2" s="5375"/>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5382"/>
      <c r="F3" s="5381">
        <v>1</v>
      </c>
      <c r="G3" s="1289"/>
      <c r="H3" s="1289"/>
      <c r="I3" s="1289"/>
      <c r="J3" s="1289"/>
      <c r="K3" s="1289"/>
      <c r="L3" s="1290"/>
      <c r="M3" s="1291"/>
      <c r="N3" s="1291"/>
      <c r="O3" s="1291"/>
      <c r="P3" s="1413"/>
      <c r="Q3" s="288"/>
      <c r="R3" s="289"/>
      <c r="S3" s="1419" t="e">
        <f>INDEX(PT_DIFFERENTIATION_NUM_TER,MATCH(B3,PT_DIFFERENTIATION_TER_ID,0))</f>
        <v>#N/A</v>
      </c>
      <c r="T3" s="245" t="s">
        <v>424</v>
      </c>
      <c r="U3" s="237"/>
      <c r="V3" s="5373"/>
      <c r="W3" s="5374"/>
      <c r="X3" s="5374"/>
      <c r="Y3" s="5374"/>
      <c r="Z3" s="5374"/>
      <c r="AA3" s="5374"/>
      <c r="AB3" s="5374"/>
      <c r="AC3" s="5374"/>
      <c r="AD3" s="5374"/>
      <c r="AE3" s="5374"/>
      <c r="AF3" s="5375"/>
      <c r="AG3" s="5373" t="e">
        <f>INDEX(PT_DIFFERENTIATION_TER,MATCH(B3,PT_DIFFERENTIATION_TER_ID,0))</f>
        <v>#N/A</v>
      </c>
      <c r="AH3" s="5374"/>
      <c r="AI3" s="5374"/>
      <c r="AJ3" s="5374"/>
      <c r="AK3" s="5374"/>
      <c r="AL3" s="5374"/>
      <c r="AM3" s="5374"/>
      <c r="AN3" s="5374"/>
      <c r="AO3" s="5374"/>
      <c r="AP3" s="5374"/>
      <c r="AQ3" s="5374"/>
      <c r="AR3" s="5375"/>
      <c r="AS3" s="1184" t="s">
        <v>425</v>
      </c>
      <c r="AU3" s="436"/>
      <c r="AV3" s="436" t="str">
        <f t="shared" si="0"/>
        <v>Территория действия тарифа</v>
      </c>
      <c r="AW3" s="436"/>
      <c r="AX3" s="436"/>
      <c r="AY3" s="1081">
        <v>0</v>
      </c>
    </row>
    <row r="4" spans="1:51" ht="23.25" hidden="1" customHeight="1">
      <c r="A4" s="1289"/>
      <c r="B4" s="1289"/>
      <c r="C4" s="1289"/>
      <c r="D4" s="1289"/>
      <c r="E4" s="5382"/>
      <c r="F4" s="5382"/>
      <c r="G4" s="5381">
        <v>1</v>
      </c>
      <c r="H4" s="1289"/>
      <c r="I4" s="1289"/>
      <c r="J4" s="1289"/>
      <c r="K4" s="1289"/>
      <c r="L4" s="1290"/>
      <c r="M4" s="1291"/>
      <c r="N4" s="1291"/>
      <c r="O4" s="1291"/>
      <c r="P4" s="290"/>
      <c r="Q4" s="288"/>
      <c r="R4" s="289"/>
      <c r="S4" s="1419" t="e">
        <f>INDEX(PT_DIFFERENTIATION_NUM_CS,MATCH(C4,PT_DIFFERENTIATION_CS_ID,0))</f>
        <v>#N/A</v>
      </c>
      <c r="T4" s="246" t="s">
        <v>562</v>
      </c>
      <c r="U4" s="237"/>
      <c r="V4" s="5373"/>
      <c r="W4" s="5374"/>
      <c r="X4" s="5374"/>
      <c r="Y4" s="5374"/>
      <c r="Z4" s="5374"/>
      <c r="AA4" s="5374"/>
      <c r="AB4" s="5374"/>
      <c r="AC4" s="5374"/>
      <c r="AD4" s="5374"/>
      <c r="AE4" s="5374"/>
      <c r="AF4" s="5375"/>
      <c r="AG4" s="5373" t="e">
        <f>INDEX(PT_DIFFERENTIATION_CS,MATCH(C4,PT_DIFFERENTIATION_CS_ID,0))</f>
        <v>#N/A</v>
      </c>
      <c r="AH4" s="5374"/>
      <c r="AI4" s="5374"/>
      <c r="AJ4" s="5374"/>
      <c r="AK4" s="5374"/>
      <c r="AL4" s="5374"/>
      <c r="AM4" s="5374"/>
      <c r="AN4" s="5374"/>
      <c r="AO4" s="5374"/>
      <c r="AP4" s="5374"/>
      <c r="AQ4" s="5374"/>
      <c r="AR4" s="5375"/>
      <c r="AS4" s="1184" t="s">
        <v>563</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5382"/>
      <c r="F5" s="5382"/>
      <c r="G5" s="5382"/>
      <c r="H5" s="5382"/>
      <c r="I5" s="5383" t="e">
        <f>S4&amp;".1"</f>
        <v>#N/A</v>
      </c>
      <c r="J5" s="1289"/>
      <c r="K5" s="1289"/>
      <c r="L5" s="1290"/>
      <c r="P5" s="5385">
        <v>1</v>
      </c>
      <c r="Q5" s="1407"/>
      <c r="R5" s="292"/>
      <c r="S5" s="1419" t="e">
        <f>$I5</f>
        <v>#N/A</v>
      </c>
      <c r="T5" s="222" t="s">
        <v>515</v>
      </c>
      <c r="U5" s="237"/>
      <c r="V5" s="5459"/>
      <c r="W5" s="5460"/>
      <c r="X5" s="5460"/>
      <c r="Y5" s="5460"/>
      <c r="Z5" s="5460"/>
      <c r="AA5" s="5460"/>
      <c r="AB5" s="5460"/>
      <c r="AC5" s="5460"/>
      <c r="AD5" s="5460"/>
      <c r="AE5" s="5460"/>
      <c r="AF5" s="5461"/>
      <c r="AG5" s="5462"/>
      <c r="AH5" s="5463"/>
      <c r="AI5" s="5463"/>
      <c r="AJ5" s="5463"/>
      <c r="AK5" s="5463"/>
      <c r="AL5" s="5463"/>
      <c r="AM5" s="5463"/>
      <c r="AN5" s="5463"/>
      <c r="AO5" s="5463"/>
      <c r="AP5" s="5463"/>
      <c r="AQ5" s="5463"/>
      <c r="AR5" s="5464"/>
      <c r="AS5" s="1184" t="s">
        <v>516</v>
      </c>
      <c r="AU5" s="436"/>
      <c r="AV5" s="436" t="str">
        <f t="shared" si="0"/>
        <v>Наименование признака дифференциации</v>
      </c>
      <c r="AW5" s="436"/>
      <c r="AX5" s="436"/>
      <c r="AY5" s="1081">
        <v>0</v>
      </c>
    </row>
    <row r="6" spans="1:51" ht="23.25" hidden="1" customHeight="1">
      <c r="A6" s="1289"/>
      <c r="B6" s="1289"/>
      <c r="C6" s="1289"/>
      <c r="D6" s="1289"/>
      <c r="E6" s="5382"/>
      <c r="F6" s="5382"/>
      <c r="G6" s="5382"/>
      <c r="H6" s="5382"/>
      <c r="I6" s="5384"/>
      <c r="J6" s="5383" t="e">
        <f>I5&amp;".1"</f>
        <v>#N/A</v>
      </c>
      <c r="K6" s="1289"/>
      <c r="L6" s="1290" t="s">
        <v>433</v>
      </c>
      <c r="P6" s="5385"/>
      <c r="Q6" s="5385">
        <v>1</v>
      </c>
      <c r="R6" s="293"/>
      <c r="S6" s="1419" t="e">
        <f>$J6</f>
        <v>#N/A</v>
      </c>
      <c r="T6" s="223" t="s">
        <v>434</v>
      </c>
      <c r="U6" s="237"/>
      <c r="V6" s="5366"/>
      <c r="W6" s="5367"/>
      <c r="X6" s="5367"/>
      <c r="Y6" s="5367"/>
      <c r="Z6" s="5367"/>
      <c r="AA6" s="5367"/>
      <c r="AB6" s="5367"/>
      <c r="AC6" s="5367"/>
      <c r="AD6" s="5367"/>
      <c r="AE6" s="5367"/>
      <c r="AF6" s="5368"/>
      <c r="AG6" s="5366"/>
      <c r="AH6" s="5367"/>
      <c r="AI6" s="5367"/>
      <c r="AJ6" s="5367"/>
      <c r="AK6" s="5367"/>
      <c r="AL6" s="5367"/>
      <c r="AM6" s="5367"/>
      <c r="AN6" s="5367"/>
      <c r="AO6" s="5367"/>
      <c r="AP6" s="5367"/>
      <c r="AQ6" s="5367"/>
      <c r="AR6" s="5368"/>
      <c r="AS6" s="1233" t="s">
        <v>517</v>
      </c>
      <c r="AU6" s="436"/>
      <c r="AV6" s="436" t="str">
        <f t="shared" si="0"/>
        <v>Группа потребителей</v>
      </c>
      <c r="AW6" s="436"/>
      <c r="AX6" s="436"/>
      <c r="AY6" s="1081">
        <v>0</v>
      </c>
    </row>
    <row r="7" spans="1:51" ht="23.25" hidden="1" customHeight="1">
      <c r="A7" s="1289"/>
      <c r="B7" s="1289"/>
      <c r="C7" s="1289"/>
      <c r="D7" s="1289"/>
      <c r="E7" s="5382"/>
      <c r="F7" s="5382"/>
      <c r="G7" s="5382"/>
      <c r="H7" s="5382"/>
      <c r="I7" s="5384"/>
      <c r="J7" s="5384"/>
      <c r="K7" s="5383" t="e">
        <f>J6&amp;".1"</f>
        <v>#N/A</v>
      </c>
      <c r="L7" s="1290"/>
      <c r="P7" s="5385"/>
      <c r="Q7" s="5385"/>
      <c r="R7" s="293">
        <v>1</v>
      </c>
      <c r="S7" s="1419" t="e">
        <f>$K7</f>
        <v>#N/A</v>
      </c>
      <c r="T7" s="1363"/>
      <c r="U7" s="237"/>
      <c r="V7" s="687"/>
      <c r="W7" s="687"/>
      <c r="X7" s="687"/>
      <c r="Y7" s="687"/>
      <c r="Z7" s="687"/>
      <c r="AA7" s="687"/>
      <c r="AB7" s="687"/>
      <c r="AC7" s="5386"/>
      <c r="AD7" s="5245" t="s">
        <v>65</v>
      </c>
      <c r="AE7" s="5386"/>
      <c r="AF7" s="5245" t="s">
        <v>65</v>
      </c>
      <c r="AG7" s="687"/>
      <c r="AH7" s="687"/>
      <c r="AI7" s="687"/>
      <c r="AJ7" s="687"/>
      <c r="AK7" s="687"/>
      <c r="AL7" s="687"/>
      <c r="AM7" s="687"/>
      <c r="AN7" s="5386"/>
      <c r="AO7" s="5245" t="s">
        <v>65</v>
      </c>
      <c r="AP7" s="5388"/>
      <c r="AQ7" s="5245" t="s">
        <v>65</v>
      </c>
      <c r="AR7" s="1364"/>
      <c r="AS7"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5382"/>
      <c r="F8" s="5382"/>
      <c r="G8" s="5382"/>
      <c r="H8" s="5382"/>
      <c r="I8" s="5384"/>
      <c r="J8" s="5384"/>
      <c r="K8" s="5383"/>
      <c r="L8" s="1290"/>
      <c r="P8" s="5385"/>
      <c r="Q8" s="5385"/>
      <c r="R8" s="293"/>
      <c r="S8" s="1416"/>
      <c r="T8" s="237"/>
      <c r="U8" s="237"/>
      <c r="V8" s="262"/>
      <c r="W8" s="262"/>
      <c r="X8" s="262"/>
      <c r="Y8" s="262"/>
      <c r="Z8" s="262"/>
      <c r="AA8" s="262"/>
      <c r="AB8" s="262"/>
      <c r="AC8" s="5387"/>
      <c r="AD8" s="5245"/>
      <c r="AE8" s="5387"/>
      <c r="AF8" s="5245"/>
      <c r="AG8" s="262"/>
      <c r="AH8" s="262"/>
      <c r="AI8" s="262"/>
      <c r="AJ8" s="262"/>
      <c r="AK8" s="262"/>
      <c r="AL8" s="262"/>
      <c r="AM8" s="262"/>
      <c r="AN8" s="5387"/>
      <c r="AO8" s="5245"/>
      <c r="AP8" s="5389"/>
      <c r="AQ8" s="5245"/>
      <c r="AR8" s="1365"/>
      <c r="AS8" s="5465"/>
      <c r="AU8" s="436"/>
      <c r="AV8" s="436" t="str">
        <f t="shared" si="0"/>
        <v/>
      </c>
      <c r="AW8" s="436"/>
      <c r="AX8" s="436"/>
      <c r="AY8" s="1081">
        <v>0</v>
      </c>
    </row>
    <row r="9" spans="1:51" ht="21" hidden="1" customHeight="1">
      <c r="A9" s="1289"/>
      <c r="B9" s="1289"/>
      <c r="C9" s="1289"/>
      <c r="D9" s="1289"/>
      <c r="E9" s="5382"/>
      <c r="F9" s="5382"/>
      <c r="G9" s="5382"/>
      <c r="H9" s="5382"/>
      <c r="I9" s="5384"/>
      <c r="J9" s="5383"/>
      <c r="K9" s="1289"/>
      <c r="L9" s="1290"/>
      <c r="P9" s="5385"/>
      <c r="Q9" s="5385"/>
      <c r="R9" s="292"/>
      <c r="S9" s="1204"/>
      <c r="T9" s="224" t="s">
        <v>518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519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5382"/>
      <c r="F10" s="5382"/>
      <c r="G10" s="5382"/>
      <c r="H10" s="5382"/>
      <c r="I10" s="5383"/>
      <c r="J10" s="1289"/>
      <c r="K10" s="1289"/>
      <c r="L10" s="1290"/>
      <c r="P10" s="5385"/>
      <c r="Q10" s="1407"/>
      <c r="R10" s="292"/>
      <c r="S10" s="1204"/>
      <c r="T10" s="301" t="s">
        <v>439</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5382"/>
      <c r="F11" s="5382"/>
      <c r="G11" s="5382"/>
      <c r="H11" s="5381"/>
      <c r="I11" s="1289"/>
      <c r="J11" s="1289"/>
      <c r="K11" s="1289"/>
      <c r="L11" s="1290"/>
      <c r="M11" s="1291"/>
      <c r="N11" s="1291"/>
      <c r="O11" s="473"/>
      <c r="P11" s="296"/>
      <c r="Q11" s="311"/>
      <c r="R11" s="291"/>
      <c r="S11" s="1204"/>
      <c r="T11" s="308" t="s">
        <v>520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5382"/>
      <c r="F12" s="5381"/>
      <c r="G12" s="1240"/>
      <c r="H12" s="1240"/>
      <c r="I12" s="1240"/>
      <c r="J12" s="1240"/>
      <c r="K12" s="1240"/>
      <c r="L12" s="1420"/>
      <c r="M12" s="1247"/>
      <c r="N12" s="1247"/>
      <c r="P12" s="1242"/>
      <c r="Q12" s="1243"/>
      <c r="R12" s="1242"/>
      <c r="S12" s="1248"/>
      <c r="T12" s="1251" t="s">
        <v>164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5381"/>
      <c r="F13" s="1269"/>
      <c r="G13" s="1269"/>
      <c r="H13" s="1269"/>
      <c r="I13" s="1269"/>
      <c r="J13" s="1269"/>
      <c r="K13" s="1269"/>
      <c r="L13" s="1272"/>
      <c r="M13" s="1247"/>
      <c r="N13" s="1247"/>
      <c r="O13" s="454"/>
      <c r="P13" s="316"/>
      <c r="Q13" s="1270"/>
      <c r="R13" s="316"/>
      <c r="S13" s="1248"/>
      <c r="T13" s="1251" t="s">
        <v>165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5378"/>
      <c r="AO15" s="5377" t="s">
        <v>65</v>
      </c>
      <c r="AP15" s="5378"/>
      <c r="AQ15" s="5377" t="s">
        <v>65</v>
      </c>
      <c r="AY15" s="1081">
        <v>0</v>
      </c>
    </row>
    <row r="16" spans="1:51" ht="14.25" hidden="1" customHeight="1">
      <c r="AG16" s="1286"/>
      <c r="AH16" s="1286"/>
      <c r="AI16" s="1286"/>
      <c r="AJ16" s="1286"/>
      <c r="AK16" s="1286"/>
      <c r="AL16" s="1286"/>
      <c r="AM16" s="1286"/>
      <c r="AN16" s="5377"/>
      <c r="AO16" s="5377"/>
      <c r="AP16" s="5377"/>
      <c r="AQ16" s="5377"/>
      <c r="AY16" s="1081">
        <v>0</v>
      </c>
    </row>
    <row r="17" spans="1:51" ht="14.25" hidden="1" customHeight="1">
      <c r="AQ17" s="264"/>
      <c r="AY17" s="1081">
        <v>0</v>
      </c>
    </row>
    <row r="18" spans="1:51" s="1292" customFormat="1" ht="22.5" hidden="1" customHeight="1">
      <c r="L18" s="1404"/>
      <c r="M18" s="1288"/>
      <c r="N18" s="1288"/>
      <c r="O18" s="1293" t="s">
        <v>441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442</v>
      </c>
      <c r="P20" s="1288"/>
      <c r="Q20" s="1368"/>
      <c r="R20" s="1368"/>
      <c r="S20" s="665"/>
      <c r="T20" s="1086" t="s">
        <v>443</v>
      </c>
      <c r="AD20" s="124" t="s">
        <v>444</v>
      </c>
      <c r="AF20" s="124" t="s">
        <v>445</v>
      </c>
      <c r="AG20" s="1086" t="s">
        <v>443</v>
      </c>
      <c r="AO20" s="124" t="s">
        <v>446</v>
      </c>
      <c r="AQ20" s="124" t="s">
        <v>445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535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5359"/>
      <c r="U24" s="5359"/>
      <c r="V24" s="5359"/>
      <c r="W24" s="5359"/>
      <c r="X24" s="5359"/>
      <c r="Y24" s="5359"/>
      <c r="Z24" s="5359"/>
      <c r="AA24" s="5359"/>
      <c r="AB24" s="5359"/>
      <c r="AC24" s="5359"/>
      <c r="AD24" s="5359"/>
      <c r="AE24" s="5359"/>
      <c r="AF24" s="5359"/>
      <c r="AG24" s="5359"/>
      <c r="AH24" s="5359"/>
      <c r="AI24" s="5359"/>
      <c r="AJ24" s="5359"/>
      <c r="AK24" s="5359"/>
      <c r="AL24" s="5359"/>
      <c r="AM24" s="5359"/>
      <c r="AN24" s="5359"/>
      <c r="AO24" s="5359"/>
      <c r="AP24" s="5359"/>
      <c r="AQ24" s="1169"/>
      <c r="AY24" s="1081">
        <v>25</v>
      </c>
    </row>
    <row r="25" spans="1:51" ht="14.65" customHeight="1">
      <c r="Q25" s="312"/>
      <c r="R25" s="312"/>
      <c r="S25" s="5331" t="str">
        <f>IF(org=0,"Не определено",org)</f>
        <v>ПАО "ТГК-1" филиал "Невский"</v>
      </c>
      <c r="T25" s="5331"/>
      <c r="U25" s="5331"/>
      <c r="V25" s="5331"/>
      <c r="W25" s="5331"/>
      <c r="X25" s="5331"/>
      <c r="Y25" s="5331"/>
      <c r="Z25" s="5331"/>
      <c r="AA25" s="5331"/>
      <c r="AB25" s="5331"/>
      <c r="AC25" s="5331"/>
      <c r="AD25" s="5331"/>
      <c r="AE25" s="5331"/>
      <c r="AF25" s="5331"/>
      <c r="AG25" s="5331"/>
      <c r="AH25" s="5331"/>
      <c r="AI25" s="5331"/>
      <c r="AJ25" s="5331"/>
      <c r="AK25" s="5331"/>
      <c r="AL25" s="5331"/>
      <c r="AM25" s="5331"/>
      <c r="AN25" s="5331"/>
      <c r="AO25" s="5331"/>
      <c r="AP25" s="5331"/>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5370" t="s">
        <v>42</v>
      </c>
      <c r="T27" s="5370"/>
      <c r="U27" s="1298"/>
      <c r="V27" s="5372" t="str">
        <f>IF(TITLE_NAME_OR_PR_CHANGE="",IF(TITLE_NAME_OR_PR="","",TITLE_NAME_OR_PR),TITLE_NAME_OR_PR_CHANGE)</f>
        <v>Комитет по тарифам Санкт-Петербурга</v>
      </c>
      <c r="W27" s="5372"/>
      <c r="X27" s="5372"/>
      <c r="Y27" s="5372"/>
      <c r="Z27" s="5372"/>
      <c r="AA27" s="5372"/>
      <c r="AB27" s="5372"/>
      <c r="AC27" s="5372"/>
      <c r="AD27" s="5372"/>
      <c r="AE27" s="5372"/>
      <c r="AF27" s="263"/>
      <c r="AG27" s="5372" t="str">
        <f>IF(TITLE_NAME_OR_PR_CHANGE="",IF(TITLE_NAME_OR_PR="","",TITLE_NAME_OR_PR),TITLE_NAME_OR_PR_CHANGE)</f>
        <v>Комитет по тарифам Санкт-Петербурга</v>
      </c>
      <c r="AH27" s="5372"/>
      <c r="AI27" s="5372"/>
      <c r="AJ27" s="5372"/>
      <c r="AK27" s="5372"/>
      <c r="AL27" s="5372"/>
      <c r="AM27" s="5372"/>
      <c r="AN27" s="5372"/>
      <c r="AO27" s="5372"/>
      <c r="AP27" s="5372"/>
      <c r="AQ27" s="263"/>
      <c r="AR27" s="263"/>
      <c r="AS27" s="217"/>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5370" t="s">
        <v>447</v>
      </c>
      <c r="T28" s="5370"/>
      <c r="U28" s="1298"/>
      <c r="V28" s="5371">
        <f>IF(TITLE_DATE_PR_CHANGE="",IF(TITLE_DATE_PR="","",TITLE_DATE_PR),TITLE_DATE_PR_CHANGE)</f>
        <v>45470</v>
      </c>
      <c r="W28" s="5371"/>
      <c r="X28" s="5371"/>
      <c r="Y28" s="5371"/>
      <c r="Z28" s="5371"/>
      <c r="AA28" s="5371"/>
      <c r="AB28" s="5371"/>
      <c r="AC28" s="5371"/>
      <c r="AD28" s="5371"/>
      <c r="AE28" s="5371"/>
      <c r="AF28" s="263"/>
      <c r="AG28" s="5371">
        <f>IF(TITLE_DATE_PR_CHANGE="",IF(TITLE_DATE_PR="","",TITLE_DATE_PR),TITLE_DATE_PR_CHANGE)</f>
        <v>45470</v>
      </c>
      <c r="AH28" s="5371"/>
      <c r="AI28" s="5371"/>
      <c r="AJ28" s="5371"/>
      <c r="AK28" s="5371"/>
      <c r="AL28" s="5371"/>
      <c r="AM28" s="5371"/>
      <c r="AN28" s="5371"/>
      <c r="AO28" s="5371"/>
      <c r="AP28" s="5371"/>
      <c r="AQ28" s="263"/>
      <c r="AR28" s="263"/>
      <c r="AS28" s="217"/>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5370" t="s">
        <v>448</v>
      </c>
      <c r="T29" s="5370"/>
      <c r="U29" s="1298"/>
      <c r="V29" s="5372" t="str">
        <f>IF(TITLE_NUMBER_PR_CHANGE="",IF(TITLE_NUMBER_PR="","",TITLE_NUMBER_PR),TITLE_NUMBER_PR_CHANGE)</f>
        <v>94-р</v>
      </c>
      <c r="W29" s="5372"/>
      <c r="X29" s="5372"/>
      <c r="Y29" s="5372"/>
      <c r="Z29" s="5372"/>
      <c r="AA29" s="5372"/>
      <c r="AB29" s="5372"/>
      <c r="AC29" s="5372"/>
      <c r="AD29" s="5372"/>
      <c r="AE29" s="5372"/>
      <c r="AF29" s="263"/>
      <c r="AG29" s="5372" t="str">
        <f>IF(TITLE_NUMBER_PR_CHANGE="",IF(TITLE_NUMBER_PR="","",TITLE_NUMBER_PR),TITLE_NUMBER_PR_CHANGE)</f>
        <v>94-р</v>
      </c>
      <c r="AH29" s="5372"/>
      <c r="AI29" s="5372"/>
      <c r="AJ29" s="5372"/>
      <c r="AK29" s="5372"/>
      <c r="AL29" s="5372"/>
      <c r="AM29" s="5372"/>
      <c r="AN29" s="5372"/>
      <c r="AO29" s="5372"/>
      <c r="AP29" s="5372"/>
      <c r="AQ29" s="263"/>
      <c r="AR29" s="263"/>
      <c r="AS29" s="217"/>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5370" t="s">
        <v>44</v>
      </c>
      <c r="T30" s="5370"/>
      <c r="U30" s="1298"/>
      <c r="V30" s="5372" t="str">
        <f>IF(TITLE_IST_PUB_CHANGE="",IF(TITLE_IST_PUB="","",TITLE_IST_PUB),TITLE_IST_PUB_CHANGE)</f>
        <v>http://publication.pravo.gov.ru/document/7801202407010029</v>
      </c>
      <c r="W30" s="5372"/>
      <c r="X30" s="5372"/>
      <c r="Y30" s="5372"/>
      <c r="Z30" s="5372"/>
      <c r="AA30" s="5372"/>
      <c r="AB30" s="5372"/>
      <c r="AC30" s="5372"/>
      <c r="AD30" s="5372"/>
      <c r="AE30" s="5372"/>
      <c r="AF30" s="263"/>
      <c r="AG30" s="5372" t="str">
        <f>IF(TITLE_IST_PUB_CHANGE="",IF(TITLE_IST_PUB="","",TITLE_IST_PUB),TITLE_IST_PUB_CHANGE)</f>
        <v>http://publication.pravo.gov.ru/document/7801202407010029</v>
      </c>
      <c r="AH30" s="5372"/>
      <c r="AI30" s="5372"/>
      <c r="AJ30" s="5372"/>
      <c r="AK30" s="5372"/>
      <c r="AL30" s="5372"/>
      <c r="AM30" s="5372"/>
      <c r="AN30" s="5372"/>
      <c r="AO30" s="5372"/>
      <c r="AP30" s="5372"/>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5370" t="s">
        <v>449</v>
      </c>
      <c r="T32" s="5370"/>
      <c r="U32" s="1298"/>
      <c r="V32" s="5371">
        <f>IF(TITLE_DATE_PR_CHANGE="",IF(TITLE_DATE_PR="","",TITLE_DATE_PR),TITLE_DATE_PR_CHANGE)</f>
        <v>45470</v>
      </c>
      <c r="W32" s="5371"/>
      <c r="X32" s="5371"/>
      <c r="Y32" s="5371"/>
      <c r="Z32" s="5371"/>
      <c r="AA32" s="5371"/>
      <c r="AB32" s="5371"/>
      <c r="AC32" s="5371"/>
      <c r="AD32" s="5371"/>
      <c r="AE32" s="5371"/>
      <c r="AF32" s="263"/>
      <c r="AG32" s="5371">
        <f>IF(TITLE_DATE_PR_CHANGE="",IF(TITLE_DATE_PR="","",TITLE_DATE_PR),TITLE_DATE_PR_CHANGE)</f>
        <v>45470</v>
      </c>
      <c r="AH32" s="5371"/>
      <c r="AI32" s="5371"/>
      <c r="AJ32" s="5371"/>
      <c r="AK32" s="5371"/>
      <c r="AL32" s="5371"/>
      <c r="AM32" s="5371"/>
      <c r="AN32" s="5371"/>
      <c r="AO32" s="5371"/>
      <c r="AP32" s="5371"/>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5370" t="s">
        <v>450</v>
      </c>
      <c r="T33" s="5370"/>
      <c r="U33" s="1298"/>
      <c r="V33" s="5372" t="str">
        <f>IF(TITLE_NUMBER_PR_CHANGE="",IF(TITLE_NUMBER_PR="","",TITLE_NUMBER_PR),TITLE_NUMBER_PR_CHANGE)</f>
        <v>94-р</v>
      </c>
      <c r="W33" s="5372"/>
      <c r="X33" s="5372"/>
      <c r="Y33" s="5372"/>
      <c r="Z33" s="5372"/>
      <c r="AA33" s="5372"/>
      <c r="AB33" s="5372"/>
      <c r="AC33" s="5372"/>
      <c r="AD33" s="5372"/>
      <c r="AE33" s="5372"/>
      <c r="AF33" s="263"/>
      <c r="AG33" s="5372" t="str">
        <f>IF(TITLE_NUMBER_PR_CHANGE="",IF(TITLE_NUMBER_PR="","",TITLE_NUMBER_PR),TITLE_NUMBER_PR_CHANGE)</f>
        <v>94-р</v>
      </c>
      <c r="AH33" s="5372"/>
      <c r="AI33" s="5372"/>
      <c r="AJ33" s="5372"/>
      <c r="AK33" s="5372"/>
      <c r="AL33" s="5372"/>
      <c r="AM33" s="5372"/>
      <c r="AN33" s="5372"/>
      <c r="AO33" s="5372"/>
      <c r="AP33" s="5372"/>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451</v>
      </c>
      <c r="AG34" s="263"/>
      <c r="AH34" s="1561"/>
      <c r="AI34" s="1561"/>
      <c r="AJ34" s="1561"/>
      <c r="AK34" s="1561"/>
      <c r="AL34" s="1561"/>
      <c r="AM34" s="263"/>
      <c r="AN34" s="263"/>
      <c r="AO34" s="263"/>
      <c r="AP34" s="263"/>
      <c r="AQ34" s="215" t="s">
        <v>451</v>
      </c>
      <c r="AT34" s="304"/>
      <c r="AU34" s="304"/>
      <c r="AV34" s="304"/>
      <c r="AW34" s="304"/>
      <c r="AX34" s="304"/>
      <c r="AY34" s="354">
        <v>1</v>
      </c>
    </row>
    <row r="35" spans="1:51" ht="14.65" customHeight="1">
      <c r="Q35" s="312"/>
      <c r="R35" s="312"/>
      <c r="S35" s="1201"/>
      <c r="T35" s="299"/>
      <c r="U35" s="1170"/>
      <c r="V35" s="5393"/>
      <c r="W35" s="5393"/>
      <c r="X35" s="5393"/>
      <c r="Y35" s="5393"/>
      <c r="Z35" s="5393"/>
      <c r="AA35" s="5393"/>
      <c r="AB35" s="5393"/>
      <c r="AC35" s="5393"/>
      <c r="AD35" s="5393"/>
      <c r="AE35" s="5393"/>
      <c r="AF35" s="5393"/>
      <c r="AG35" s="5393"/>
      <c r="AH35" s="5393"/>
      <c r="AI35" s="5393"/>
      <c r="AJ35" s="5393"/>
      <c r="AK35" s="5393"/>
      <c r="AL35" s="5393"/>
      <c r="AM35" s="5393"/>
      <c r="AN35" s="5393"/>
      <c r="AO35" s="5393"/>
      <c r="AP35" s="5393"/>
      <c r="AQ35" s="5393"/>
      <c r="AY35" s="1081">
        <v>14</v>
      </c>
    </row>
    <row r="36" spans="1:51" ht="14.65" customHeight="1">
      <c r="Q36" s="312"/>
      <c r="R36" s="312"/>
      <c r="S36" s="5235" t="s">
        <v>327</v>
      </c>
      <c r="T36" s="5235"/>
      <c r="U36" s="5235"/>
      <c r="V36" s="5235"/>
      <c r="W36" s="5235"/>
      <c r="X36" s="5235"/>
      <c r="Y36" s="5235"/>
      <c r="Z36" s="5235"/>
      <c r="AA36" s="5235"/>
      <c r="AB36" s="5235"/>
      <c r="AC36" s="5235"/>
      <c r="AD36" s="5235"/>
      <c r="AE36" s="5235"/>
      <c r="AF36" s="5235"/>
      <c r="AG36" s="5235"/>
      <c r="AH36" s="5235"/>
      <c r="AI36" s="5235"/>
      <c r="AJ36" s="5235"/>
      <c r="AK36" s="5235"/>
      <c r="AL36" s="5235"/>
      <c r="AM36" s="5235"/>
      <c r="AN36" s="5235"/>
      <c r="AO36" s="5235"/>
      <c r="AP36" s="5235"/>
      <c r="AQ36" s="5235"/>
      <c r="AR36" s="5235"/>
      <c r="AS36" s="5235" t="s">
        <v>328</v>
      </c>
      <c r="AY36" s="1081">
        <v>14</v>
      </c>
    </row>
    <row r="37" spans="1:51" ht="14.65" customHeight="1">
      <c r="Q37" s="312"/>
      <c r="R37" s="312"/>
      <c r="S37" s="5395" t="s">
        <v>90</v>
      </c>
      <c r="T37" s="5339" t="s">
        <v>452</v>
      </c>
      <c r="U37" s="238"/>
      <c r="V37" s="5396" t="s">
        <v>453</v>
      </c>
      <c r="W37" s="5419"/>
      <c r="X37" s="5419"/>
      <c r="Y37" s="5419"/>
      <c r="Z37" s="5419"/>
      <c r="AA37" s="5419"/>
      <c r="AB37" s="5419"/>
      <c r="AC37" s="5397"/>
      <c r="AD37" s="5397"/>
      <c r="AE37" s="5398"/>
      <c r="AF37" s="5399" t="s">
        <v>454</v>
      </c>
      <c r="AG37" s="5396" t="s">
        <v>453</v>
      </c>
      <c r="AH37" s="5397"/>
      <c r="AI37" s="5397"/>
      <c r="AJ37" s="5397"/>
      <c r="AK37" s="5397"/>
      <c r="AL37" s="5397"/>
      <c r="AM37" s="5397"/>
      <c r="AN37" s="5397"/>
      <c r="AO37" s="5397"/>
      <c r="AP37" s="5398"/>
      <c r="AQ37" s="5399" t="s">
        <v>455</v>
      </c>
      <c r="AR37" s="5402" t="s">
        <v>456</v>
      </c>
      <c r="AS37" s="5235"/>
      <c r="AY37" s="1081">
        <v>14</v>
      </c>
    </row>
    <row r="38" spans="1:51" ht="19.899999999999999" customHeight="1">
      <c r="Q38" s="312"/>
      <c r="R38" s="312"/>
      <c r="S38" s="5395"/>
      <c r="T38" s="5339"/>
      <c r="U38" s="960"/>
      <c r="V38" s="5235" t="s">
        <v>564</v>
      </c>
      <c r="W38" s="5475" t="s">
        <v>565</v>
      </c>
      <c r="X38" s="5475"/>
      <c r="Y38" s="5475"/>
      <c r="Z38" s="5475" t="s">
        <v>566</v>
      </c>
      <c r="AA38" s="5475"/>
      <c r="AB38" s="5475"/>
      <c r="AC38" s="5312" t="s">
        <v>460</v>
      </c>
      <c r="AD38" s="5432"/>
      <c r="AE38" s="5313"/>
      <c r="AF38" s="5400"/>
      <c r="AG38" s="5235" t="s">
        <v>564</v>
      </c>
      <c r="AH38" s="5475" t="s">
        <v>565</v>
      </c>
      <c r="AI38" s="5475"/>
      <c r="AJ38" s="5475"/>
      <c r="AK38" s="5475" t="s">
        <v>566</v>
      </c>
      <c r="AL38" s="5475"/>
      <c r="AM38" s="5475"/>
      <c r="AN38" s="5312" t="s">
        <v>460</v>
      </c>
      <c r="AO38" s="5432"/>
      <c r="AP38" s="5313"/>
      <c r="AQ38" s="5400"/>
      <c r="AR38" s="5403"/>
      <c r="AS38" s="5235"/>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5395"/>
      <c r="T39" s="5339"/>
      <c r="U39" s="960"/>
      <c r="V39" s="5235"/>
      <c r="W39" s="5475" t="s">
        <v>567</v>
      </c>
      <c r="X39" s="5475" t="s">
        <v>568</v>
      </c>
      <c r="Y39" s="5475"/>
      <c r="Z39" s="5475" t="s">
        <v>569</v>
      </c>
      <c r="AA39" s="5475" t="s">
        <v>568</v>
      </c>
      <c r="AB39" s="5475"/>
      <c r="AC39" s="5317"/>
      <c r="AD39" s="5433"/>
      <c r="AE39" s="5318"/>
      <c r="AF39" s="5400"/>
      <c r="AG39" s="5235"/>
      <c r="AH39" s="5475" t="s">
        <v>567</v>
      </c>
      <c r="AI39" s="5475" t="s">
        <v>568</v>
      </c>
      <c r="AJ39" s="5475"/>
      <c r="AK39" s="5475" t="s">
        <v>569</v>
      </c>
      <c r="AL39" s="5475" t="s">
        <v>568</v>
      </c>
      <c r="AM39" s="5475"/>
      <c r="AN39" s="5317"/>
      <c r="AO39" s="5433"/>
      <c r="AP39" s="5318"/>
      <c r="AQ39" s="5400"/>
      <c r="AR39" s="5403"/>
      <c r="AS39" s="5235"/>
      <c r="AT39" s="1562"/>
      <c r="AU39" s="1562"/>
      <c r="AV39" s="1562"/>
      <c r="AW39" s="1562"/>
      <c r="AX39" s="1562"/>
      <c r="AY39" s="1557">
        <v>19</v>
      </c>
    </row>
    <row r="40" spans="1:51" ht="61.9" customHeight="1">
      <c r="A40" s="1296"/>
      <c r="B40" s="1296" t="s">
        <v>137</v>
      </c>
      <c r="C40" s="1296" t="s">
        <v>138</v>
      </c>
      <c r="D40" s="1296" t="s">
        <v>139</v>
      </c>
      <c r="E40" s="1290" t="s">
        <v>461</v>
      </c>
      <c r="F40" s="1290" t="s">
        <v>462</v>
      </c>
      <c r="G40" s="1290" t="s">
        <v>463</v>
      </c>
      <c r="H40" s="1290"/>
      <c r="I40" s="1290" t="s">
        <v>522</v>
      </c>
      <c r="J40" s="1290" t="s">
        <v>466</v>
      </c>
      <c r="K40" s="1290" t="s">
        <v>523</v>
      </c>
      <c r="L40" s="1290" t="s">
        <v>442</v>
      </c>
      <c r="Q40" s="312"/>
      <c r="R40" s="312"/>
      <c r="S40" s="5395"/>
      <c r="T40" s="5339"/>
      <c r="U40" s="239"/>
      <c r="V40" s="5235"/>
      <c r="W40" s="5475"/>
      <c r="X40" s="1904" t="s">
        <v>570</v>
      </c>
      <c r="Y40" s="1904" t="s">
        <v>571</v>
      </c>
      <c r="Z40" s="5475"/>
      <c r="AA40" s="1904" t="s">
        <v>572</v>
      </c>
      <c r="AB40" s="1904" t="s">
        <v>573</v>
      </c>
      <c r="AC40" s="1415" t="s">
        <v>470</v>
      </c>
      <c r="AD40" s="5344" t="s">
        <v>471</v>
      </c>
      <c r="AE40" s="5358"/>
      <c r="AF40" s="5401"/>
      <c r="AG40" s="5235"/>
      <c r="AH40" s="5475"/>
      <c r="AI40" s="1904" t="s">
        <v>570</v>
      </c>
      <c r="AJ40" s="1904" t="s">
        <v>571</v>
      </c>
      <c r="AK40" s="5475"/>
      <c r="AL40" s="1904" t="s">
        <v>572</v>
      </c>
      <c r="AM40" s="1904" t="s">
        <v>573</v>
      </c>
      <c r="AN40" s="1415" t="s">
        <v>470</v>
      </c>
      <c r="AO40" s="5344" t="s">
        <v>471</v>
      </c>
      <c r="AP40" s="5358"/>
      <c r="AQ40" s="5401"/>
      <c r="AR40" s="5404"/>
      <c r="AS40" s="5235"/>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267"/>
      <c r="X41" s="1267"/>
      <c r="Y41" s="1267"/>
      <c r="Z41" s="1267"/>
      <c r="AA41" s="1267"/>
      <c r="AB41" s="1267"/>
      <c r="AC41" s="1408">
        <f ca="1">OFFSET(AC41,0,-1)+1</f>
        <v>1</v>
      </c>
      <c r="AD41" s="5392">
        <f ca="1">OFFSET(AD41,0,-1)+1</f>
        <v>2</v>
      </c>
      <c r="AE41" s="5392"/>
      <c r="AF41" s="1408">
        <f ca="1">OFFSET(AF41,0,-2)+1</f>
        <v>3</v>
      </c>
      <c r="AG41" s="1408">
        <f ca="1">OFFSET(AG41,0,-1)+1</f>
        <v>4</v>
      </c>
      <c r="AH41" s="1877"/>
      <c r="AI41" s="1877"/>
      <c r="AJ41" s="1877"/>
      <c r="AK41" s="1877"/>
      <c r="AL41" s="1877"/>
      <c r="AM41" s="1408">
        <f ca="1">OFFSET(AM41,0,-1)+1</f>
        <v>1</v>
      </c>
      <c r="AN41" s="1408">
        <f ca="1">OFFSET(AN41,0,-1)+1</f>
        <v>2</v>
      </c>
      <c r="AO41" s="5392">
        <f ca="1">OFFSET(AO41,0,-1)+1</f>
        <v>3</v>
      </c>
      <c r="AP41" s="5392"/>
      <c r="AQ41" s="1408">
        <f ca="1">OFFSET(AQ41,0,-2)+1</f>
        <v>4</v>
      </c>
      <c r="AR41" s="1171">
        <f ca="1">OFFSET(AR41,0,-1)</f>
        <v>4</v>
      </c>
      <c r="AS41" s="1408">
        <f ca="1">OFFSET(AS41,0,-1)+1</f>
        <v>5</v>
      </c>
      <c r="AT41" s="447"/>
      <c r="AU41" s="447"/>
      <c r="AV41" s="447"/>
      <c r="AW41" s="447"/>
      <c r="AX41" s="447"/>
      <c r="AY41" s="432">
        <v>0</v>
      </c>
    </row>
    <row r="42" spans="1:51" ht="24" customHeight="1">
      <c r="A42" s="1289" t="s">
        <v>278</v>
      </c>
      <c r="B42" s="1289"/>
      <c r="C42" s="1289"/>
      <c r="D42" s="1289"/>
      <c r="E42" s="5381">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5373"/>
      <c r="W42" s="5374"/>
      <c r="X42" s="5374"/>
      <c r="Y42" s="5374"/>
      <c r="Z42" s="5374"/>
      <c r="AA42" s="5374"/>
      <c r="AB42" s="5374"/>
      <c r="AC42" s="5374"/>
      <c r="AD42" s="5374"/>
      <c r="AE42" s="5374"/>
      <c r="AF42" s="5375"/>
      <c r="AG42" s="5373" t="str">
        <f>INDEX(PT_DIFFERENTIATION_NTAR,MATCH(A42,PT_DIFFERENTIATION_NTAR_ID,0))</f>
        <v/>
      </c>
      <c r="AH42" s="5374"/>
      <c r="AI42" s="5374"/>
      <c r="AJ42" s="5374"/>
      <c r="AK42" s="5374"/>
      <c r="AL42" s="5374"/>
      <c r="AM42" s="5374"/>
      <c r="AN42" s="5374"/>
      <c r="AO42" s="5374"/>
      <c r="AP42" s="5374"/>
      <c r="AQ42" s="5374"/>
      <c r="AR42" s="5375"/>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278</v>
      </c>
      <c r="B43" s="1289" t="s">
        <v>279</v>
      </c>
      <c r="C43" s="1289"/>
      <c r="D43" s="1289"/>
      <c r="E43" s="5382"/>
      <c r="F43" s="5381">
        <v>1</v>
      </c>
      <c r="G43" s="1289"/>
      <c r="H43" s="1289"/>
      <c r="I43" s="1289"/>
      <c r="J43" s="1289"/>
      <c r="K43" s="1289"/>
      <c r="L43" s="1290"/>
      <c r="M43" s="1291"/>
      <c r="N43" s="1291"/>
      <c r="O43" s="1291"/>
      <c r="P43" s="1413"/>
      <c r="Q43" s="288"/>
      <c r="R43" s="289"/>
      <c r="S43" s="1419" t="str">
        <f>INDEX(PT_DIFFERENTIATION_NUM_TER,MATCH(B43,PT_DIFFERENTIATION_TER_ID,0))</f>
        <v>.</v>
      </c>
      <c r="T43" s="245" t="s">
        <v>424</v>
      </c>
      <c r="U43" s="237"/>
      <c r="V43" s="5373"/>
      <c r="W43" s="5374"/>
      <c r="X43" s="5374"/>
      <c r="Y43" s="5374"/>
      <c r="Z43" s="5374"/>
      <c r="AA43" s="5374"/>
      <c r="AB43" s="5374"/>
      <c r="AC43" s="5374"/>
      <c r="AD43" s="5374"/>
      <c r="AE43" s="5374"/>
      <c r="AF43" s="5375"/>
      <c r="AG43" s="5373" t="str">
        <f>INDEX(PT_DIFFERENTIATION_TER,MATCH(B43,PT_DIFFERENTIATION_TER_ID,0))</f>
        <v/>
      </c>
      <c r="AH43" s="5374"/>
      <c r="AI43" s="5374"/>
      <c r="AJ43" s="5374"/>
      <c r="AK43" s="5374"/>
      <c r="AL43" s="5374"/>
      <c r="AM43" s="5374"/>
      <c r="AN43" s="5374"/>
      <c r="AO43" s="5374"/>
      <c r="AP43" s="5374"/>
      <c r="AQ43" s="5374"/>
      <c r="AR43" s="5375"/>
      <c r="AS43" s="1184" t="s">
        <v>425</v>
      </c>
      <c r="AU43" s="436"/>
      <c r="AV43" s="436" t="str">
        <f t="shared" si="1"/>
        <v>Территория действия тарифа</v>
      </c>
      <c r="AW43" s="436"/>
      <c r="AX43" s="436"/>
      <c r="AY43" s="1081">
        <v>23</v>
      </c>
    </row>
    <row r="44" spans="1:51" ht="24" customHeight="1">
      <c r="A44" s="1289" t="s">
        <v>278</v>
      </c>
      <c r="B44" s="1289" t="s">
        <v>279</v>
      </c>
      <c r="C44" s="1289" t="s">
        <v>280</v>
      </c>
      <c r="D44" s="1289"/>
      <c r="E44" s="5382"/>
      <c r="F44" s="5382"/>
      <c r="G44" s="5381">
        <v>1</v>
      </c>
      <c r="H44" s="1289"/>
      <c r="I44" s="1289"/>
      <c r="J44" s="1289"/>
      <c r="K44" s="1289"/>
      <c r="L44" s="1290"/>
      <c r="M44" s="1291"/>
      <c r="N44" s="1291"/>
      <c r="O44" s="1291"/>
      <c r="P44" s="290"/>
      <c r="Q44" s="288"/>
      <c r="R44" s="289"/>
      <c r="S44" s="1419" t="str">
        <f>INDEX(PT_DIFFERENTIATION_NUM_CS,MATCH(C44,PT_DIFFERENTIATION_CS_ID,0))</f>
        <v>..</v>
      </c>
      <c r="T44" s="246" t="s">
        <v>562</v>
      </c>
      <c r="U44" s="237"/>
      <c r="V44" s="5373"/>
      <c r="W44" s="5374"/>
      <c r="X44" s="5374"/>
      <c r="Y44" s="5374"/>
      <c r="Z44" s="5374"/>
      <c r="AA44" s="5374"/>
      <c r="AB44" s="5374"/>
      <c r="AC44" s="5374"/>
      <c r="AD44" s="5374"/>
      <c r="AE44" s="5374"/>
      <c r="AF44" s="5375"/>
      <c r="AG44" s="5373" t="str">
        <f>INDEX(PT_DIFFERENTIATION_CS,MATCH(C44,PT_DIFFERENTIATION_CS_ID,0))</f>
        <v/>
      </c>
      <c r="AH44" s="5374"/>
      <c r="AI44" s="5374"/>
      <c r="AJ44" s="5374"/>
      <c r="AK44" s="5374"/>
      <c r="AL44" s="5374"/>
      <c r="AM44" s="5374"/>
      <c r="AN44" s="5374"/>
      <c r="AO44" s="5374"/>
      <c r="AP44" s="5374"/>
      <c r="AQ44" s="5374"/>
      <c r="AR44" s="5375"/>
      <c r="AS44" s="1184" t="s">
        <v>563</v>
      </c>
      <c r="AU44" s="436"/>
      <c r="AV44" s="436" t="str">
        <f t="shared" si="1"/>
        <v>Наименование централизованной системы горячего водоснабжения</v>
      </c>
      <c r="AW44" s="436"/>
      <c r="AX44" s="436"/>
      <c r="AY44" s="1081">
        <v>23</v>
      </c>
    </row>
    <row r="45" spans="1:51" ht="24" customHeight="1">
      <c r="A45" s="1289" t="s">
        <v>278</v>
      </c>
      <c r="B45" s="1289" t="s">
        <v>279</v>
      </c>
      <c r="C45" s="1289" t="s">
        <v>280</v>
      </c>
      <c r="D45" s="1289" t="s">
        <v>574</v>
      </c>
      <c r="E45" s="5382"/>
      <c r="F45" s="5382"/>
      <c r="G45" s="5382"/>
      <c r="H45" s="5382"/>
      <c r="I45" s="5383" t="str">
        <f>S44&amp;".1"</f>
        <v>...1</v>
      </c>
      <c r="J45" s="1289"/>
      <c r="K45" s="1289"/>
      <c r="L45" s="1290"/>
      <c r="P45" s="5385">
        <v>1</v>
      </c>
      <c r="Q45" s="1407"/>
      <c r="R45" s="292"/>
      <c r="S45" s="1419" t="str">
        <f>$I45</f>
        <v>...1</v>
      </c>
      <c r="T45" s="222" t="s">
        <v>515</v>
      </c>
      <c r="U45" s="237"/>
      <c r="V45" s="5459"/>
      <c r="W45" s="5460"/>
      <c r="X45" s="5460"/>
      <c r="Y45" s="5460"/>
      <c r="Z45" s="5460"/>
      <c r="AA45" s="5460"/>
      <c r="AB45" s="5460"/>
      <c r="AC45" s="5460"/>
      <c r="AD45" s="5460"/>
      <c r="AE45" s="5460"/>
      <c r="AF45" s="5461"/>
      <c r="AG45" s="5462"/>
      <c r="AH45" s="5463"/>
      <c r="AI45" s="5463"/>
      <c r="AJ45" s="5463"/>
      <c r="AK45" s="5463"/>
      <c r="AL45" s="5463"/>
      <c r="AM45" s="5463"/>
      <c r="AN45" s="5463"/>
      <c r="AO45" s="5463"/>
      <c r="AP45" s="5463"/>
      <c r="AQ45" s="5463"/>
      <c r="AR45" s="5464"/>
      <c r="AS45" s="1184" t="s">
        <v>516</v>
      </c>
      <c r="AU45" s="436"/>
      <c r="AV45" s="436" t="str">
        <f t="shared" si="1"/>
        <v>Наименование признака дифференциации</v>
      </c>
      <c r="AW45" s="436"/>
      <c r="AX45" s="436"/>
      <c r="AY45" s="1081">
        <v>23</v>
      </c>
    </row>
    <row r="46" spans="1:51" ht="24" customHeight="1">
      <c r="A46" s="1289" t="s">
        <v>278</v>
      </c>
      <c r="B46" s="1289" t="s">
        <v>279</v>
      </c>
      <c r="C46" s="1289" t="s">
        <v>280</v>
      </c>
      <c r="D46" s="1289" t="s">
        <v>574</v>
      </c>
      <c r="E46" s="5382"/>
      <c r="F46" s="5382"/>
      <c r="G46" s="5382"/>
      <c r="H46" s="5382"/>
      <c r="I46" s="5384"/>
      <c r="J46" s="5383" t="str">
        <f>I45&amp;".1"</f>
        <v>...1.1</v>
      </c>
      <c r="K46" s="1289"/>
      <c r="L46" s="1290" t="s">
        <v>433</v>
      </c>
      <c r="P46" s="5385"/>
      <c r="Q46" s="5385">
        <v>1</v>
      </c>
      <c r="R46" s="293"/>
      <c r="S46" s="1419" t="str">
        <f>$J46</f>
        <v>...1.1</v>
      </c>
      <c r="T46" s="223" t="s">
        <v>434</v>
      </c>
      <c r="U46" s="237"/>
      <c r="V46" s="5366"/>
      <c r="W46" s="5367"/>
      <c r="X46" s="5367"/>
      <c r="Y46" s="5367"/>
      <c r="Z46" s="5367"/>
      <c r="AA46" s="5367"/>
      <c r="AB46" s="5367"/>
      <c r="AC46" s="5367"/>
      <c r="AD46" s="5367"/>
      <c r="AE46" s="5367"/>
      <c r="AF46" s="5368"/>
      <c r="AG46" s="5366"/>
      <c r="AH46" s="5367"/>
      <c r="AI46" s="5367"/>
      <c r="AJ46" s="5367"/>
      <c r="AK46" s="5367"/>
      <c r="AL46" s="5367"/>
      <c r="AM46" s="5367"/>
      <c r="AN46" s="5367"/>
      <c r="AO46" s="5367"/>
      <c r="AP46" s="5367"/>
      <c r="AQ46" s="5367"/>
      <c r="AR46" s="5368"/>
      <c r="AS46" s="1233" t="s">
        <v>517</v>
      </c>
      <c r="AU46" s="436"/>
      <c r="AV46" s="436" t="str">
        <f t="shared" si="1"/>
        <v>Группа потребителей</v>
      </c>
      <c r="AW46" s="436"/>
      <c r="AX46" s="436"/>
      <c r="AY46" s="1081">
        <v>23</v>
      </c>
    </row>
    <row r="47" spans="1:51" ht="24" customHeight="1">
      <c r="A47" s="1289" t="s">
        <v>278</v>
      </c>
      <c r="B47" s="1289" t="s">
        <v>279</v>
      </c>
      <c r="C47" s="1289" t="s">
        <v>280</v>
      </c>
      <c r="D47" s="1289" t="s">
        <v>574</v>
      </c>
      <c r="E47" s="5382"/>
      <c r="F47" s="5382"/>
      <c r="G47" s="5382"/>
      <c r="H47" s="5382"/>
      <c r="I47" s="5384"/>
      <c r="J47" s="5384"/>
      <c r="K47" s="5383" t="str">
        <f>J46&amp;".1"</f>
        <v>...1.1.1</v>
      </c>
      <c r="L47" s="1290"/>
      <c r="P47" s="5385"/>
      <c r="Q47" s="5385"/>
      <c r="R47" s="293">
        <v>1</v>
      </c>
      <c r="S47" s="1419" t="str">
        <f>$K47</f>
        <v>...1.1.1</v>
      </c>
      <c r="T47" s="1363"/>
      <c r="U47" s="237"/>
      <c r="V47" s="687"/>
      <c r="W47" s="687"/>
      <c r="X47" s="687"/>
      <c r="Y47" s="687"/>
      <c r="Z47" s="687"/>
      <c r="AA47" s="687"/>
      <c r="AB47" s="687"/>
      <c r="AC47" s="5378"/>
      <c r="AD47" s="5377" t="s">
        <v>65</v>
      </c>
      <c r="AE47" s="5378"/>
      <c r="AF47" s="5377" t="s">
        <v>65</v>
      </c>
      <c r="AG47" s="687"/>
      <c r="AH47" s="687"/>
      <c r="AI47" s="687"/>
      <c r="AJ47" s="687"/>
      <c r="AK47" s="687"/>
      <c r="AL47" s="687"/>
      <c r="AM47" s="687"/>
      <c r="AN47" s="5386"/>
      <c r="AO47" s="5245" t="s">
        <v>65</v>
      </c>
      <c r="AP47" s="5388"/>
      <c r="AQ47" s="5245" t="s">
        <v>19</v>
      </c>
      <c r="AR47" s="1364"/>
      <c r="AS47"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278</v>
      </c>
      <c r="B48" s="1289" t="s">
        <v>279</v>
      </c>
      <c r="C48" s="1289" t="s">
        <v>280</v>
      </c>
      <c r="D48" s="1289" t="s">
        <v>574</v>
      </c>
      <c r="E48" s="5382"/>
      <c r="F48" s="5382"/>
      <c r="G48" s="5382"/>
      <c r="H48" s="5382"/>
      <c r="I48" s="5384"/>
      <c r="J48" s="5384"/>
      <c r="K48" s="5383"/>
      <c r="L48" s="1290"/>
      <c r="P48" s="5385"/>
      <c r="Q48" s="5385"/>
      <c r="R48" s="293"/>
      <c r="S48" s="1416"/>
      <c r="T48" s="237"/>
      <c r="U48" s="237"/>
      <c r="V48" s="1286"/>
      <c r="W48" s="1286"/>
      <c r="X48" s="1286"/>
      <c r="Y48" s="1286"/>
      <c r="Z48" s="1286"/>
      <c r="AA48" s="1286"/>
      <c r="AB48" s="1286"/>
      <c r="AC48" s="5377"/>
      <c r="AD48" s="5377"/>
      <c r="AE48" s="5377"/>
      <c r="AF48" s="5377"/>
      <c r="AG48" s="262"/>
      <c r="AH48" s="262"/>
      <c r="AI48" s="262"/>
      <c r="AJ48" s="262"/>
      <c r="AK48" s="262"/>
      <c r="AL48" s="262"/>
      <c r="AM48" s="262"/>
      <c r="AN48" s="5387"/>
      <c r="AO48" s="5245"/>
      <c r="AP48" s="5389"/>
      <c r="AQ48" s="5245"/>
      <c r="AR48" s="1365"/>
      <c r="AS48" s="5465"/>
      <c r="AU48" s="436"/>
      <c r="AV48" s="436" t="str">
        <f t="shared" si="1"/>
        <v/>
      </c>
      <c r="AW48" s="436"/>
      <c r="AX48" s="436"/>
      <c r="AY48" s="1081">
        <v>0</v>
      </c>
    </row>
    <row r="49" spans="1:51" ht="21" customHeight="1">
      <c r="A49" s="1289" t="s">
        <v>278</v>
      </c>
      <c r="B49" s="1289" t="s">
        <v>279</v>
      </c>
      <c r="C49" s="1289" t="s">
        <v>280</v>
      </c>
      <c r="D49" s="1289" t="s">
        <v>574</v>
      </c>
      <c r="E49" s="5382"/>
      <c r="F49" s="5382"/>
      <c r="G49" s="5382"/>
      <c r="H49" s="5382"/>
      <c r="I49" s="5384"/>
      <c r="J49" s="5383"/>
      <c r="K49" s="1289"/>
      <c r="L49" s="1290"/>
      <c r="P49" s="5385"/>
      <c r="Q49" s="5385"/>
      <c r="R49" s="292"/>
      <c r="S49" s="1204"/>
      <c r="T49" s="224" t="s">
        <v>518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519</v>
      </c>
      <c r="AU49" s="436"/>
      <c r="AV49" s="436" t="str">
        <f t="shared" si="1"/>
        <v>Добавить значение признака дифференциации</v>
      </c>
      <c r="AW49" s="436"/>
      <c r="AX49" s="436"/>
      <c r="AY49" s="1081">
        <v>20</v>
      </c>
    </row>
    <row r="50" spans="1:51" ht="21.95" customHeight="1">
      <c r="A50" s="1289" t="s">
        <v>278</v>
      </c>
      <c r="B50" s="1289" t="s">
        <v>279</v>
      </c>
      <c r="C50" s="1289" t="s">
        <v>280</v>
      </c>
      <c r="D50" s="1289" t="s">
        <v>574</v>
      </c>
      <c r="E50" s="5382"/>
      <c r="F50" s="5382"/>
      <c r="G50" s="5382"/>
      <c r="H50" s="5382"/>
      <c r="I50" s="5383"/>
      <c r="J50" s="1289"/>
      <c r="K50" s="1289"/>
      <c r="L50" s="1290"/>
      <c r="P50" s="5385"/>
      <c r="Q50" s="1407"/>
      <c r="R50" s="292"/>
      <c r="S50" s="1204"/>
      <c r="T50" s="301" t="s">
        <v>439</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278</v>
      </c>
      <c r="B51" s="1289" t="s">
        <v>279</v>
      </c>
      <c r="C51" s="1289" t="s">
        <v>280</v>
      </c>
      <c r="D51" s="1289" t="s">
        <v>574</v>
      </c>
      <c r="E51" s="5382"/>
      <c r="F51" s="5382"/>
      <c r="G51" s="5382"/>
      <c r="H51" s="5381"/>
      <c r="I51" s="1289"/>
      <c r="J51" s="1289"/>
      <c r="K51" s="1289"/>
      <c r="L51" s="1290"/>
      <c r="M51" s="1291"/>
      <c r="N51" s="1291"/>
      <c r="O51" s="473"/>
      <c r="P51" s="296"/>
      <c r="Q51" s="311"/>
      <c r="R51" s="291"/>
      <c r="S51" s="1204"/>
      <c r="T51" s="308" t="s">
        <v>520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278</v>
      </c>
      <c r="B52" s="1269" t="s">
        <v>279</v>
      </c>
      <c r="C52" s="1240"/>
      <c r="D52" s="1240"/>
      <c r="E52" s="5382"/>
      <c r="F52" s="5381"/>
      <c r="G52" s="1240"/>
      <c r="H52" s="1240"/>
      <c r="I52" s="1240"/>
      <c r="J52" s="1240"/>
      <c r="K52" s="1240"/>
      <c r="L52" s="1420"/>
      <c r="M52" s="1247"/>
      <c r="N52" s="1247"/>
      <c r="P52" s="1242"/>
      <c r="Q52" s="1243"/>
      <c r="R52" s="1242"/>
      <c r="S52" s="1248"/>
      <c r="T52" s="1251" t="s">
        <v>164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278</v>
      </c>
      <c r="B53" s="1269"/>
      <c r="C53" s="1269"/>
      <c r="D53" s="1269"/>
      <c r="E53" s="5381"/>
      <c r="F53" s="1269"/>
      <c r="G53" s="1269"/>
      <c r="H53" s="1269"/>
      <c r="I53" s="1269"/>
      <c r="J53" s="1269"/>
      <c r="K53" s="1269"/>
      <c r="L53" s="1272"/>
      <c r="M53" s="1247"/>
      <c r="N53" s="1247"/>
      <c r="O53" s="454"/>
      <c r="P53" s="316"/>
      <c r="Q53" s="1270"/>
      <c r="R53" s="316"/>
      <c r="S53" s="1248"/>
      <c r="T53" s="1251" t="s">
        <v>165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182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5379"/>
      <c r="U56" s="5379"/>
      <c r="V56" s="5379"/>
      <c r="W56" s="5379"/>
      <c r="X56" s="5379"/>
      <c r="Y56" s="5379"/>
      <c r="Z56" s="5379"/>
      <c r="AA56" s="5379"/>
      <c r="AB56" s="5379"/>
      <c r="AC56" s="5379"/>
      <c r="AD56" s="5379"/>
      <c r="AE56" s="5379"/>
      <c r="AF56" s="5379"/>
      <c r="AG56" s="5379"/>
      <c r="AH56" s="5379"/>
      <c r="AI56" s="5379"/>
      <c r="AJ56" s="5379"/>
      <c r="AK56" s="5379"/>
      <c r="AL56" s="5379"/>
      <c r="AM56" s="5379"/>
      <c r="AN56" s="5379"/>
      <c r="AO56" s="5379"/>
      <c r="AP56" s="5379"/>
      <c r="AQ56" s="5379"/>
      <c r="AR56" s="5379"/>
      <c r="AS56" s="5379"/>
      <c r="AY56" s="1081">
        <v>14</v>
      </c>
    </row>
    <row r="57" spans="1:51" ht="14.65" customHeight="1">
      <c r="O57" s="473"/>
      <c r="AY57" s="1081">
        <v>14</v>
      </c>
    </row>
    <row r="58" spans="1:51" ht="14.65" customHeight="1">
      <c r="O58" s="473"/>
      <c r="S58" s="1179"/>
      <c r="T58" s="5379"/>
      <c r="U58" s="5379"/>
      <c r="V58" s="5379"/>
      <c r="W58" s="5379"/>
      <c r="X58" s="5379"/>
      <c r="Y58" s="5379"/>
      <c r="Z58" s="5379"/>
      <c r="AA58" s="5379"/>
      <c r="AB58" s="5379"/>
      <c r="AC58" s="5379"/>
      <c r="AD58" s="5379"/>
      <c r="AE58" s="5379"/>
      <c r="AF58" s="5379"/>
      <c r="AG58" s="5379"/>
      <c r="AH58" s="5379"/>
      <c r="AI58" s="5379"/>
      <c r="AJ58" s="5379"/>
      <c r="AK58" s="5379"/>
      <c r="AL58" s="5379"/>
      <c r="AM58" s="5379"/>
      <c r="AN58" s="5379"/>
      <c r="AO58" s="5379"/>
      <c r="AP58" s="5379"/>
      <c r="AQ58" s="5379"/>
      <c r="AR58" s="5379"/>
      <c r="AS58" s="5379"/>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3"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5381">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5373"/>
      <c r="W2" s="5374"/>
      <c r="X2" s="5374"/>
      <c r="Y2" s="5374"/>
      <c r="Z2" s="5374"/>
      <c r="AA2" s="5374"/>
      <c r="AB2" s="5374"/>
      <c r="AC2" s="5374"/>
      <c r="AD2" s="5374"/>
      <c r="AE2" s="5374"/>
      <c r="AF2" s="5375"/>
      <c r="AG2" s="5373" t="e">
        <f>INDEX(PT_DIFFERENTIATION_NTAR,MATCH(A2,PT_DIFFERENTIATION_NTAR_ID,0))</f>
        <v>#N/A</v>
      </c>
      <c r="AH2" s="5374"/>
      <c r="AI2" s="5374"/>
      <c r="AJ2" s="5374"/>
      <c r="AK2" s="5374"/>
      <c r="AL2" s="5374"/>
      <c r="AM2" s="5374"/>
      <c r="AN2" s="5374"/>
      <c r="AO2" s="5374"/>
      <c r="AP2" s="5374"/>
      <c r="AQ2" s="5374"/>
      <c r="AR2" s="5375"/>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5382"/>
      <c r="F3" s="5381">
        <v>1</v>
      </c>
      <c r="G3" s="1289"/>
      <c r="H3" s="1289"/>
      <c r="I3" s="1289"/>
      <c r="J3" s="1289"/>
      <c r="K3" s="1289"/>
      <c r="L3" s="1290"/>
      <c r="M3" s="1291"/>
      <c r="N3" s="1291"/>
      <c r="O3" s="1291"/>
      <c r="P3" s="1413"/>
      <c r="Q3" s="288"/>
      <c r="R3" s="289"/>
      <c r="S3" s="1419" t="e">
        <f>INDEX(PT_DIFFERENTIATION_NUM_TER,MATCH(B3,PT_DIFFERENTIATION_TER_ID,0))</f>
        <v>#N/A</v>
      </c>
      <c r="T3" s="245" t="s">
        <v>424</v>
      </c>
      <c r="U3" s="237"/>
      <c r="V3" s="5373"/>
      <c r="W3" s="5374"/>
      <c r="X3" s="5374"/>
      <c r="Y3" s="5374"/>
      <c r="Z3" s="5374"/>
      <c r="AA3" s="5374"/>
      <c r="AB3" s="5374"/>
      <c r="AC3" s="5374"/>
      <c r="AD3" s="5374"/>
      <c r="AE3" s="5374"/>
      <c r="AF3" s="5375"/>
      <c r="AG3" s="5373" t="e">
        <f>INDEX(PT_DIFFERENTIATION_TER,MATCH(B3,PT_DIFFERENTIATION_TER_ID,0))</f>
        <v>#N/A</v>
      </c>
      <c r="AH3" s="5374"/>
      <c r="AI3" s="5374"/>
      <c r="AJ3" s="5374"/>
      <c r="AK3" s="5374"/>
      <c r="AL3" s="5374"/>
      <c r="AM3" s="5374"/>
      <c r="AN3" s="5374"/>
      <c r="AO3" s="5374"/>
      <c r="AP3" s="5374"/>
      <c r="AQ3" s="5374"/>
      <c r="AR3" s="5375"/>
      <c r="AS3" s="1184" t="s">
        <v>425</v>
      </c>
      <c r="AU3" s="436"/>
      <c r="AV3" s="436" t="str">
        <f t="shared" si="0"/>
        <v>Территория действия тарифа</v>
      </c>
      <c r="AW3" s="436"/>
      <c r="AX3" s="436"/>
      <c r="AY3" s="1081">
        <v>0</v>
      </c>
    </row>
    <row r="4" spans="1:51" ht="23.25" hidden="1" customHeight="1">
      <c r="A4" s="1289"/>
      <c r="B4" s="1289"/>
      <c r="C4" s="1289"/>
      <c r="D4" s="1289"/>
      <c r="E4" s="5382"/>
      <c r="F4" s="5382"/>
      <c r="G4" s="5381">
        <v>1</v>
      </c>
      <c r="H4" s="1289"/>
      <c r="I4" s="1289"/>
      <c r="J4" s="1289"/>
      <c r="K4" s="1289"/>
      <c r="L4" s="1290"/>
      <c r="M4" s="1291"/>
      <c r="N4" s="1291"/>
      <c r="O4" s="1291"/>
      <c r="P4" s="290"/>
      <c r="Q4" s="288"/>
      <c r="R4" s="289"/>
      <c r="S4" s="1419" t="e">
        <f>INDEX(PT_DIFFERENTIATION_NUM_CS,MATCH(C4,PT_DIFFERENTIATION_CS_ID,0))</f>
        <v>#N/A</v>
      </c>
      <c r="T4" s="246" t="s">
        <v>562</v>
      </c>
      <c r="U4" s="237"/>
      <c r="V4" s="5373"/>
      <c r="W4" s="5374"/>
      <c r="X4" s="5374"/>
      <c r="Y4" s="5374"/>
      <c r="Z4" s="5374"/>
      <c r="AA4" s="5374"/>
      <c r="AB4" s="5374"/>
      <c r="AC4" s="5374"/>
      <c r="AD4" s="5374"/>
      <c r="AE4" s="5374"/>
      <c r="AF4" s="5375"/>
      <c r="AG4" s="5373" t="e">
        <f>INDEX(PT_DIFFERENTIATION_CS,MATCH(C4,PT_DIFFERENTIATION_CS_ID,0))</f>
        <v>#N/A</v>
      </c>
      <c r="AH4" s="5374"/>
      <c r="AI4" s="5374"/>
      <c r="AJ4" s="5374"/>
      <c r="AK4" s="5374"/>
      <c r="AL4" s="5374"/>
      <c r="AM4" s="5374"/>
      <c r="AN4" s="5374"/>
      <c r="AO4" s="5374"/>
      <c r="AP4" s="5374"/>
      <c r="AQ4" s="5374"/>
      <c r="AR4" s="5375"/>
      <c r="AS4" s="1184" t="s">
        <v>563</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5382"/>
      <c r="F5" s="5382"/>
      <c r="G5" s="5382"/>
      <c r="H5" s="5382"/>
      <c r="I5" s="5383" t="e">
        <f>S4&amp;".1"</f>
        <v>#N/A</v>
      </c>
      <c r="J5" s="1289"/>
      <c r="K5" s="1289"/>
      <c r="L5" s="1290"/>
      <c r="P5" s="5385">
        <v>1</v>
      </c>
      <c r="Q5" s="1407"/>
      <c r="R5" s="292"/>
      <c r="S5" s="1419" t="e">
        <f>$I5</f>
        <v>#N/A</v>
      </c>
      <c r="T5" s="222" t="s">
        <v>515</v>
      </c>
      <c r="U5" s="237"/>
      <c r="V5" s="5459"/>
      <c r="W5" s="5460"/>
      <c r="X5" s="5460"/>
      <c r="Y5" s="5460"/>
      <c r="Z5" s="5460"/>
      <c r="AA5" s="5460"/>
      <c r="AB5" s="5460"/>
      <c r="AC5" s="5460"/>
      <c r="AD5" s="5460"/>
      <c r="AE5" s="5460"/>
      <c r="AF5" s="5461"/>
      <c r="AG5" s="5462"/>
      <c r="AH5" s="5463"/>
      <c r="AI5" s="5463"/>
      <c r="AJ5" s="5463"/>
      <c r="AK5" s="5463"/>
      <c r="AL5" s="5463"/>
      <c r="AM5" s="5463"/>
      <c r="AN5" s="5463"/>
      <c r="AO5" s="5463"/>
      <c r="AP5" s="5463"/>
      <c r="AQ5" s="5463"/>
      <c r="AR5" s="5464"/>
      <c r="AS5" s="1184" t="s">
        <v>516</v>
      </c>
      <c r="AU5" s="436"/>
      <c r="AV5" s="436" t="str">
        <f t="shared" si="0"/>
        <v>Наименование признака дифференциации</v>
      </c>
      <c r="AW5" s="436"/>
      <c r="AX5" s="436"/>
      <c r="AY5" s="1081">
        <v>0</v>
      </c>
    </row>
    <row r="6" spans="1:51" ht="23.25" hidden="1" customHeight="1">
      <c r="A6" s="1289"/>
      <c r="B6" s="1289"/>
      <c r="C6" s="1289"/>
      <c r="D6" s="1289"/>
      <c r="E6" s="5382"/>
      <c r="F6" s="5382"/>
      <c r="G6" s="5382"/>
      <c r="H6" s="5382"/>
      <c r="I6" s="5384"/>
      <c r="J6" s="5383" t="e">
        <f>I5&amp;".1"</f>
        <v>#N/A</v>
      </c>
      <c r="K6" s="1289"/>
      <c r="L6" s="1290" t="s">
        <v>433</v>
      </c>
      <c r="P6" s="5385"/>
      <c r="Q6" s="5385">
        <v>1</v>
      </c>
      <c r="R6" s="293"/>
      <c r="S6" s="1419" t="e">
        <f>$J6</f>
        <v>#N/A</v>
      </c>
      <c r="T6" s="223" t="s">
        <v>434</v>
      </c>
      <c r="U6" s="237"/>
      <c r="V6" s="5366"/>
      <c r="W6" s="5367"/>
      <c r="X6" s="5367"/>
      <c r="Y6" s="5367"/>
      <c r="Z6" s="5367"/>
      <c r="AA6" s="5367"/>
      <c r="AB6" s="5367"/>
      <c r="AC6" s="5367"/>
      <c r="AD6" s="5367"/>
      <c r="AE6" s="5367"/>
      <c r="AF6" s="5368"/>
      <c r="AG6" s="5366"/>
      <c r="AH6" s="5367"/>
      <c r="AI6" s="5367"/>
      <c r="AJ6" s="5367"/>
      <c r="AK6" s="5367"/>
      <c r="AL6" s="5367"/>
      <c r="AM6" s="5367"/>
      <c r="AN6" s="5367"/>
      <c r="AO6" s="5367"/>
      <c r="AP6" s="5367"/>
      <c r="AQ6" s="5367"/>
      <c r="AR6" s="5368"/>
      <c r="AS6" s="1233" t="s">
        <v>517</v>
      </c>
      <c r="AU6" s="436"/>
      <c r="AV6" s="436" t="str">
        <f t="shared" si="0"/>
        <v>Группа потребителей</v>
      </c>
      <c r="AW6" s="436"/>
      <c r="AX6" s="436"/>
      <c r="AY6" s="1081">
        <v>0</v>
      </c>
    </row>
    <row r="7" spans="1:51" ht="23.25" hidden="1" customHeight="1">
      <c r="A7" s="1289"/>
      <c r="B7" s="1289"/>
      <c r="C7" s="1289"/>
      <c r="D7" s="1289"/>
      <c r="E7" s="5382"/>
      <c r="F7" s="5382"/>
      <c r="G7" s="5382"/>
      <c r="H7" s="5382"/>
      <c r="I7" s="5384"/>
      <c r="J7" s="5384"/>
      <c r="K7" s="5383" t="e">
        <f>J6&amp;".1"</f>
        <v>#N/A</v>
      </c>
      <c r="L7" s="1290"/>
      <c r="P7" s="5385"/>
      <c r="Q7" s="5385"/>
      <c r="R7" s="293">
        <v>1</v>
      </c>
      <c r="S7" s="1419" t="e">
        <f>$K7</f>
        <v>#N/A</v>
      </c>
      <c r="T7" s="1363"/>
      <c r="U7" s="237"/>
      <c r="V7" s="687"/>
      <c r="W7" s="687"/>
      <c r="X7" s="687"/>
      <c r="Y7" s="687"/>
      <c r="Z7" s="687"/>
      <c r="AA7" s="687"/>
      <c r="AB7" s="1183"/>
      <c r="AC7" s="5386"/>
      <c r="AD7" s="5245" t="s">
        <v>65</v>
      </c>
      <c r="AE7" s="5386"/>
      <c r="AF7" s="5245" t="s">
        <v>65</v>
      </c>
      <c r="AG7" s="687"/>
      <c r="AH7" s="687"/>
      <c r="AI7" s="687"/>
      <c r="AJ7" s="687"/>
      <c r="AK7" s="687"/>
      <c r="AL7" s="687"/>
      <c r="AM7" s="1183"/>
      <c r="AN7" s="5386"/>
      <c r="AO7" s="5245" t="s">
        <v>65</v>
      </c>
      <c r="AP7" s="5388"/>
      <c r="AQ7" s="5245" t="s">
        <v>65</v>
      </c>
      <c r="AR7" s="1364"/>
      <c r="AS7"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5382"/>
      <c r="F8" s="5382"/>
      <c r="G8" s="5382"/>
      <c r="H8" s="5382"/>
      <c r="I8" s="5384"/>
      <c r="J8" s="5384"/>
      <c r="K8" s="5383"/>
      <c r="L8" s="1290"/>
      <c r="P8" s="5385"/>
      <c r="Q8" s="5385"/>
      <c r="R8" s="293"/>
      <c r="S8" s="1416"/>
      <c r="T8" s="237"/>
      <c r="U8" s="237"/>
      <c r="V8" s="262"/>
      <c r="W8" s="262"/>
      <c r="X8" s="262"/>
      <c r="Y8" s="262"/>
      <c r="Z8" s="262"/>
      <c r="AA8" s="262"/>
      <c r="AB8" s="265" t="str">
        <f>AC7&amp;"-"&amp;AE7</f>
        <v>-</v>
      </c>
      <c r="AC8" s="5387"/>
      <c r="AD8" s="5245"/>
      <c r="AE8" s="5387"/>
      <c r="AF8" s="5245"/>
      <c r="AG8" s="262"/>
      <c r="AH8" s="262"/>
      <c r="AI8" s="262"/>
      <c r="AJ8" s="262"/>
      <c r="AK8" s="262"/>
      <c r="AL8" s="262"/>
      <c r="AM8" s="265" t="str">
        <f>AN7&amp;"-"&amp;AP7</f>
        <v>-</v>
      </c>
      <c r="AN8" s="5387"/>
      <c r="AO8" s="5245"/>
      <c r="AP8" s="5389"/>
      <c r="AQ8" s="5245"/>
      <c r="AR8" s="1365"/>
      <c r="AS8" s="5465"/>
      <c r="AU8" s="436"/>
      <c r="AV8" s="436" t="str">
        <f t="shared" si="0"/>
        <v/>
      </c>
      <c r="AW8" s="436"/>
      <c r="AX8" s="436"/>
      <c r="AY8" s="1081">
        <v>0</v>
      </c>
    </row>
    <row r="9" spans="1:51" ht="21" hidden="1" customHeight="1">
      <c r="A9" s="1289"/>
      <c r="B9" s="1289"/>
      <c r="C9" s="1289"/>
      <c r="D9" s="1289"/>
      <c r="E9" s="5382"/>
      <c r="F9" s="5382"/>
      <c r="G9" s="5382"/>
      <c r="H9" s="5382"/>
      <c r="I9" s="5384"/>
      <c r="J9" s="5383"/>
      <c r="K9" s="1289"/>
      <c r="L9" s="1290"/>
      <c r="P9" s="5385"/>
      <c r="Q9" s="5385"/>
      <c r="R9" s="292"/>
      <c r="S9" s="1204"/>
      <c r="T9" s="224" t="s">
        <v>518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519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5382"/>
      <c r="F10" s="5382"/>
      <c r="G10" s="5382"/>
      <c r="H10" s="5382"/>
      <c r="I10" s="5383"/>
      <c r="J10" s="1289"/>
      <c r="K10" s="1289"/>
      <c r="L10" s="1290"/>
      <c r="P10" s="5385"/>
      <c r="Q10" s="1407"/>
      <c r="R10" s="292"/>
      <c r="S10" s="1204"/>
      <c r="T10" s="301" t="s">
        <v>439</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5382"/>
      <c r="F11" s="5382"/>
      <c r="G11" s="5382"/>
      <c r="H11" s="5381"/>
      <c r="I11" s="1289"/>
      <c r="J11" s="1289"/>
      <c r="K11" s="1289"/>
      <c r="L11" s="1290"/>
      <c r="M11" s="1291"/>
      <c r="N11" s="1291"/>
      <c r="O11" s="473"/>
      <c r="P11" s="296"/>
      <c r="Q11" s="311"/>
      <c r="R11" s="291"/>
      <c r="S11" s="1204"/>
      <c r="T11" s="308" t="s">
        <v>520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5382"/>
      <c r="F12" s="5381"/>
      <c r="G12" s="1240"/>
      <c r="H12" s="1240"/>
      <c r="I12" s="1240"/>
      <c r="J12" s="1240"/>
      <c r="K12" s="1240"/>
      <c r="L12" s="1420"/>
      <c r="M12" s="1247"/>
      <c r="N12" s="1247"/>
      <c r="P12" s="1242"/>
      <c r="Q12" s="1243"/>
      <c r="R12" s="1242"/>
      <c r="S12" s="1248"/>
      <c r="T12" s="1251" t="s">
        <v>164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5381"/>
      <c r="F13" s="1269"/>
      <c r="G13" s="1269"/>
      <c r="H13" s="1269"/>
      <c r="I13" s="1269"/>
      <c r="J13" s="1269"/>
      <c r="K13" s="1269"/>
      <c r="L13" s="1272"/>
      <c r="M13" s="1247"/>
      <c r="N13" s="1247"/>
      <c r="O13" s="454"/>
      <c r="P13" s="316"/>
      <c r="Q13" s="1270"/>
      <c r="R13" s="316"/>
      <c r="S13" s="1248"/>
      <c r="T13" s="1251" t="s">
        <v>165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5378"/>
      <c r="AO15" s="5377" t="s">
        <v>65</v>
      </c>
      <c r="AP15" s="5378"/>
      <c r="AQ15" s="5377" t="s">
        <v>65</v>
      </c>
      <c r="AY15" s="1081">
        <v>0</v>
      </c>
    </row>
    <row r="16" spans="1:51" ht="14.25" hidden="1" customHeight="1">
      <c r="AG16" s="1286"/>
      <c r="AH16" s="1286"/>
      <c r="AI16" s="1286"/>
      <c r="AJ16" s="1286"/>
      <c r="AK16" s="1286"/>
      <c r="AL16" s="1286"/>
      <c r="AM16" s="265" t="str">
        <f>AN15&amp;"-"&amp;AP15</f>
        <v>-</v>
      </c>
      <c r="AN16" s="5377"/>
      <c r="AO16" s="5377"/>
      <c r="AP16" s="5377"/>
      <c r="AQ16" s="5377"/>
      <c r="AY16" s="1081">
        <v>0</v>
      </c>
    </row>
    <row r="17" spans="1:51" ht="14.25" hidden="1" customHeight="1">
      <c r="AQ17" s="264"/>
      <c r="AY17" s="1081">
        <v>0</v>
      </c>
    </row>
    <row r="18" spans="1:51" s="1292" customFormat="1" ht="22.5" hidden="1" customHeight="1">
      <c r="L18" s="1404"/>
      <c r="M18" s="1288"/>
      <c r="N18" s="1288"/>
      <c r="O18" s="1293" t="s">
        <v>441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442</v>
      </c>
      <c r="P20" s="1288"/>
      <c r="Q20" s="1368"/>
      <c r="R20" s="1368"/>
      <c r="S20" s="665"/>
      <c r="T20" s="1086" t="s">
        <v>443</v>
      </c>
      <c r="AD20" s="124" t="s">
        <v>444</v>
      </c>
      <c r="AF20" s="124" t="s">
        <v>445</v>
      </c>
      <c r="AG20" s="1086" t="s">
        <v>443</v>
      </c>
      <c r="AO20" s="124" t="s">
        <v>446</v>
      </c>
      <c r="AQ20" s="124" t="s">
        <v>445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535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5359"/>
      <c r="U24" s="5359"/>
      <c r="V24" s="5359"/>
      <c r="W24" s="5359"/>
      <c r="X24" s="5359"/>
      <c r="Y24" s="5359"/>
      <c r="Z24" s="5359"/>
      <c r="AA24" s="5359"/>
      <c r="AB24" s="5359"/>
      <c r="AC24" s="5359"/>
      <c r="AD24" s="5359"/>
      <c r="AE24" s="5359"/>
      <c r="AF24" s="5359"/>
      <c r="AG24" s="5359"/>
      <c r="AH24" s="5359"/>
      <c r="AI24" s="5359"/>
      <c r="AJ24" s="5359"/>
      <c r="AK24" s="5359"/>
      <c r="AL24" s="5359"/>
      <c r="AM24" s="5359"/>
      <c r="AN24" s="5359"/>
      <c r="AO24" s="5359"/>
      <c r="AP24" s="5359"/>
      <c r="AQ24" s="1169"/>
      <c r="AY24" s="1081">
        <v>25</v>
      </c>
    </row>
    <row r="25" spans="1:51" ht="14.65" customHeight="1">
      <c r="Q25" s="312"/>
      <c r="R25" s="312"/>
      <c r="S25" s="5331" t="str">
        <f>IF(org=0,"Не определено",org)</f>
        <v>ПАО "ТГК-1" филиал "Невский"</v>
      </c>
      <c r="T25" s="5331"/>
      <c r="U25" s="5331"/>
      <c r="V25" s="5331"/>
      <c r="W25" s="5331"/>
      <c r="X25" s="5331"/>
      <c r="Y25" s="5331"/>
      <c r="Z25" s="5331"/>
      <c r="AA25" s="5331"/>
      <c r="AB25" s="5331"/>
      <c r="AC25" s="5331"/>
      <c r="AD25" s="5331"/>
      <c r="AE25" s="5331"/>
      <c r="AF25" s="5331"/>
      <c r="AG25" s="5331"/>
      <c r="AH25" s="5331"/>
      <c r="AI25" s="5331"/>
      <c r="AJ25" s="5331"/>
      <c r="AK25" s="5331"/>
      <c r="AL25" s="5331"/>
      <c r="AM25" s="5331"/>
      <c r="AN25" s="5331"/>
      <c r="AO25" s="5331"/>
      <c r="AP25" s="5331"/>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5370" t="s">
        <v>42</v>
      </c>
      <c r="T27" s="5370"/>
      <c r="U27" s="1298"/>
      <c r="V27" s="5372" t="str">
        <f>IF(TITLE_NAME_OR_PR_CHANGE="",IF(TITLE_NAME_OR_PR="","",TITLE_NAME_OR_PR),TITLE_NAME_OR_PR_CHANGE)</f>
        <v>Комитет по тарифам Санкт-Петербурга</v>
      </c>
      <c r="W27" s="5372"/>
      <c r="X27" s="5372"/>
      <c r="Y27" s="5372"/>
      <c r="Z27" s="5372"/>
      <c r="AA27" s="5372"/>
      <c r="AB27" s="5372"/>
      <c r="AC27" s="5372"/>
      <c r="AD27" s="5372"/>
      <c r="AE27" s="5372"/>
      <c r="AF27" s="263"/>
      <c r="AG27" s="5372" t="str">
        <f>IF(TITLE_NAME_OR_PR_CHANGE="",IF(TITLE_NAME_OR_PR="","",TITLE_NAME_OR_PR),TITLE_NAME_OR_PR_CHANGE)</f>
        <v>Комитет по тарифам Санкт-Петербурга</v>
      </c>
      <c r="AH27" s="5372"/>
      <c r="AI27" s="5372"/>
      <c r="AJ27" s="5372"/>
      <c r="AK27" s="5372"/>
      <c r="AL27" s="5372"/>
      <c r="AM27" s="5372"/>
      <c r="AN27" s="5372"/>
      <c r="AO27" s="5372"/>
      <c r="AP27" s="5372"/>
      <c r="AQ27" s="263"/>
      <c r="AR27" s="263"/>
      <c r="AS27" s="217"/>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5370" t="s">
        <v>447</v>
      </c>
      <c r="T28" s="5370"/>
      <c r="U28" s="1298"/>
      <c r="V28" s="5371">
        <f>IF(TITLE_DATE_PR_CHANGE="",IF(TITLE_DATE_PR="","",TITLE_DATE_PR),TITLE_DATE_PR_CHANGE)</f>
        <v>45470</v>
      </c>
      <c r="W28" s="5371"/>
      <c r="X28" s="5371"/>
      <c r="Y28" s="5371"/>
      <c r="Z28" s="5371"/>
      <c r="AA28" s="5371"/>
      <c r="AB28" s="5371"/>
      <c r="AC28" s="5371"/>
      <c r="AD28" s="5371"/>
      <c r="AE28" s="5371"/>
      <c r="AF28" s="263"/>
      <c r="AG28" s="5371">
        <f>IF(TITLE_DATE_PR_CHANGE="",IF(TITLE_DATE_PR="","",TITLE_DATE_PR),TITLE_DATE_PR_CHANGE)</f>
        <v>45470</v>
      </c>
      <c r="AH28" s="5371"/>
      <c r="AI28" s="5371"/>
      <c r="AJ28" s="5371"/>
      <c r="AK28" s="5371"/>
      <c r="AL28" s="5371"/>
      <c r="AM28" s="5371"/>
      <c r="AN28" s="5371"/>
      <c r="AO28" s="5371"/>
      <c r="AP28" s="5371"/>
      <c r="AQ28" s="263"/>
      <c r="AR28" s="263"/>
      <c r="AS28" s="217"/>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5370" t="s">
        <v>448</v>
      </c>
      <c r="T29" s="5370"/>
      <c r="U29" s="1298"/>
      <c r="V29" s="5372" t="str">
        <f>IF(TITLE_NUMBER_PR_CHANGE="",IF(TITLE_NUMBER_PR="","",TITLE_NUMBER_PR),TITLE_NUMBER_PR_CHANGE)</f>
        <v>94-р</v>
      </c>
      <c r="W29" s="5372"/>
      <c r="X29" s="5372"/>
      <c r="Y29" s="5372"/>
      <c r="Z29" s="5372"/>
      <c r="AA29" s="5372"/>
      <c r="AB29" s="5372"/>
      <c r="AC29" s="5372"/>
      <c r="AD29" s="5372"/>
      <c r="AE29" s="5372"/>
      <c r="AF29" s="263"/>
      <c r="AG29" s="5372" t="str">
        <f>IF(TITLE_NUMBER_PR_CHANGE="",IF(TITLE_NUMBER_PR="","",TITLE_NUMBER_PR),TITLE_NUMBER_PR_CHANGE)</f>
        <v>94-р</v>
      </c>
      <c r="AH29" s="5372"/>
      <c r="AI29" s="5372"/>
      <c r="AJ29" s="5372"/>
      <c r="AK29" s="5372"/>
      <c r="AL29" s="5372"/>
      <c r="AM29" s="5372"/>
      <c r="AN29" s="5372"/>
      <c r="AO29" s="5372"/>
      <c r="AP29" s="5372"/>
      <c r="AQ29" s="263"/>
      <c r="AR29" s="263"/>
      <c r="AS29" s="217"/>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5370" t="s">
        <v>44</v>
      </c>
      <c r="T30" s="5370"/>
      <c r="U30" s="1298"/>
      <c r="V30" s="5372" t="str">
        <f>IF(TITLE_IST_PUB_CHANGE="",IF(TITLE_IST_PUB="","",TITLE_IST_PUB),TITLE_IST_PUB_CHANGE)</f>
        <v>http://publication.pravo.gov.ru/document/7801202407010029</v>
      </c>
      <c r="W30" s="5372"/>
      <c r="X30" s="5372"/>
      <c r="Y30" s="5372"/>
      <c r="Z30" s="5372"/>
      <c r="AA30" s="5372"/>
      <c r="AB30" s="5372"/>
      <c r="AC30" s="5372"/>
      <c r="AD30" s="5372"/>
      <c r="AE30" s="5372"/>
      <c r="AF30" s="263"/>
      <c r="AG30" s="5372" t="str">
        <f>IF(TITLE_IST_PUB_CHANGE="",IF(TITLE_IST_PUB="","",TITLE_IST_PUB),TITLE_IST_PUB_CHANGE)</f>
        <v>http://publication.pravo.gov.ru/document/7801202407010029</v>
      </c>
      <c r="AH30" s="5372"/>
      <c r="AI30" s="5372"/>
      <c r="AJ30" s="5372"/>
      <c r="AK30" s="5372"/>
      <c r="AL30" s="5372"/>
      <c r="AM30" s="5372"/>
      <c r="AN30" s="5372"/>
      <c r="AO30" s="5372"/>
      <c r="AP30" s="5372"/>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5370" t="s">
        <v>449</v>
      </c>
      <c r="T32" s="5370"/>
      <c r="U32" s="1298"/>
      <c r="V32" s="5371">
        <f>IF(TITLE_DATE_PR_CHANGE="",IF(TITLE_DATE_PR="","",TITLE_DATE_PR),TITLE_DATE_PR_CHANGE)</f>
        <v>45470</v>
      </c>
      <c r="W32" s="5371"/>
      <c r="X32" s="5371"/>
      <c r="Y32" s="5371"/>
      <c r="Z32" s="5371"/>
      <c r="AA32" s="5371"/>
      <c r="AB32" s="5371"/>
      <c r="AC32" s="5371"/>
      <c r="AD32" s="5371"/>
      <c r="AE32" s="5371"/>
      <c r="AF32" s="263"/>
      <c r="AG32" s="5371">
        <f>IF(TITLE_DATE_PR_CHANGE="",IF(TITLE_DATE_PR="","",TITLE_DATE_PR),TITLE_DATE_PR_CHANGE)</f>
        <v>45470</v>
      </c>
      <c r="AH32" s="5371"/>
      <c r="AI32" s="5371"/>
      <c r="AJ32" s="5371"/>
      <c r="AK32" s="5371"/>
      <c r="AL32" s="5371"/>
      <c r="AM32" s="5371"/>
      <c r="AN32" s="5371"/>
      <c r="AO32" s="5371"/>
      <c r="AP32" s="5371"/>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5370" t="s">
        <v>450</v>
      </c>
      <c r="T33" s="5370"/>
      <c r="U33" s="1298"/>
      <c r="V33" s="5372" t="str">
        <f>IF(TITLE_NUMBER_PR_CHANGE="",IF(TITLE_NUMBER_PR="","",TITLE_NUMBER_PR),TITLE_NUMBER_PR_CHANGE)</f>
        <v>94-р</v>
      </c>
      <c r="W33" s="5372"/>
      <c r="X33" s="5372"/>
      <c r="Y33" s="5372"/>
      <c r="Z33" s="5372"/>
      <c r="AA33" s="5372"/>
      <c r="AB33" s="5372"/>
      <c r="AC33" s="5372"/>
      <c r="AD33" s="5372"/>
      <c r="AE33" s="5372"/>
      <c r="AF33" s="263"/>
      <c r="AG33" s="5372" t="str">
        <f>IF(TITLE_NUMBER_PR_CHANGE="",IF(TITLE_NUMBER_PR="","",TITLE_NUMBER_PR),TITLE_NUMBER_PR_CHANGE)</f>
        <v>94-р</v>
      </c>
      <c r="AH33" s="5372"/>
      <c r="AI33" s="5372"/>
      <c r="AJ33" s="5372"/>
      <c r="AK33" s="5372"/>
      <c r="AL33" s="5372"/>
      <c r="AM33" s="5372"/>
      <c r="AN33" s="5372"/>
      <c r="AO33" s="5372"/>
      <c r="AP33" s="5372"/>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451</v>
      </c>
      <c r="AG34" s="263"/>
      <c r="AH34" s="1561"/>
      <c r="AI34" s="1561"/>
      <c r="AJ34" s="1561"/>
      <c r="AK34" s="1561"/>
      <c r="AL34" s="1561"/>
      <c r="AM34" s="263"/>
      <c r="AN34" s="263"/>
      <c r="AO34" s="263"/>
      <c r="AP34" s="263"/>
      <c r="AQ34" s="215" t="s">
        <v>451</v>
      </c>
      <c r="AT34" s="304"/>
      <c r="AU34" s="304"/>
      <c r="AV34" s="304"/>
      <c r="AW34" s="304"/>
      <c r="AX34" s="304"/>
      <c r="AY34" s="354">
        <v>1</v>
      </c>
    </row>
    <row r="35" spans="1:51" ht="14.65" customHeight="1">
      <c r="Q35" s="312"/>
      <c r="R35" s="312"/>
      <c r="S35" s="1201"/>
      <c r="T35" s="299"/>
      <c r="U35" s="1170"/>
      <c r="V35" s="5393"/>
      <c r="W35" s="5393"/>
      <c r="X35" s="5393"/>
      <c r="Y35" s="5393"/>
      <c r="Z35" s="5393"/>
      <c r="AA35" s="5393"/>
      <c r="AB35" s="5393"/>
      <c r="AC35" s="5393"/>
      <c r="AD35" s="5393"/>
      <c r="AE35" s="5393"/>
      <c r="AF35" s="5393"/>
      <c r="AG35" s="5393"/>
      <c r="AH35" s="5393"/>
      <c r="AI35" s="5393"/>
      <c r="AJ35" s="5393"/>
      <c r="AK35" s="5393"/>
      <c r="AL35" s="5393"/>
      <c r="AM35" s="5393"/>
      <c r="AN35" s="5393"/>
      <c r="AO35" s="5393"/>
      <c r="AP35" s="5393"/>
      <c r="AQ35" s="5393"/>
      <c r="AY35" s="1081">
        <v>14</v>
      </c>
    </row>
    <row r="36" spans="1:51" ht="14.65" customHeight="1">
      <c r="Q36" s="312"/>
      <c r="R36" s="312"/>
      <c r="S36" s="5235" t="s">
        <v>327</v>
      </c>
      <c r="T36" s="5235"/>
      <c r="U36" s="5235"/>
      <c r="V36" s="5235"/>
      <c r="W36" s="5235"/>
      <c r="X36" s="5235"/>
      <c r="Y36" s="5235"/>
      <c r="Z36" s="5235"/>
      <c r="AA36" s="5235"/>
      <c r="AB36" s="5235"/>
      <c r="AC36" s="5235"/>
      <c r="AD36" s="5235"/>
      <c r="AE36" s="5235"/>
      <c r="AF36" s="5235"/>
      <c r="AG36" s="5235"/>
      <c r="AH36" s="5235"/>
      <c r="AI36" s="5235"/>
      <c r="AJ36" s="5235"/>
      <c r="AK36" s="5235"/>
      <c r="AL36" s="5235"/>
      <c r="AM36" s="5235"/>
      <c r="AN36" s="5235"/>
      <c r="AO36" s="5235"/>
      <c r="AP36" s="5235"/>
      <c r="AQ36" s="5235"/>
      <c r="AR36" s="5235"/>
      <c r="AS36" s="5235" t="s">
        <v>328</v>
      </c>
      <c r="AY36" s="1081">
        <v>14</v>
      </c>
    </row>
    <row r="37" spans="1:51" ht="14.65" customHeight="1">
      <c r="Q37" s="312"/>
      <c r="R37" s="312"/>
      <c r="S37" s="5395" t="s">
        <v>90</v>
      </c>
      <c r="T37" s="5339" t="s">
        <v>452</v>
      </c>
      <c r="U37" s="238"/>
      <c r="V37" s="5396" t="s">
        <v>453</v>
      </c>
      <c r="W37" s="5397"/>
      <c r="X37" s="5397"/>
      <c r="Y37" s="5397"/>
      <c r="Z37" s="5397"/>
      <c r="AA37" s="5397"/>
      <c r="AB37" s="5397"/>
      <c r="AC37" s="5397"/>
      <c r="AD37" s="5397"/>
      <c r="AE37" s="5398"/>
      <c r="AF37" s="5399" t="s">
        <v>454</v>
      </c>
      <c r="AG37" s="5396" t="s">
        <v>453</v>
      </c>
      <c r="AH37" s="5397"/>
      <c r="AI37" s="5397"/>
      <c r="AJ37" s="5397"/>
      <c r="AK37" s="5397"/>
      <c r="AL37" s="5397"/>
      <c r="AM37" s="5397"/>
      <c r="AN37" s="5397"/>
      <c r="AO37" s="5397"/>
      <c r="AP37" s="5398"/>
      <c r="AQ37" s="5399" t="s">
        <v>455</v>
      </c>
      <c r="AR37" s="5402" t="s">
        <v>456</v>
      </c>
      <c r="AS37" s="5235"/>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5395"/>
      <c r="T38" s="5339"/>
      <c r="U38" s="960"/>
      <c r="V38" s="5235" t="s">
        <v>564</v>
      </c>
      <c r="W38" s="5475" t="s">
        <v>565</v>
      </c>
      <c r="X38" s="5475"/>
      <c r="Y38" s="5475"/>
      <c r="Z38" s="5475" t="s">
        <v>566</v>
      </c>
      <c r="AA38" s="5475"/>
      <c r="AB38" s="5475"/>
      <c r="AC38" s="5312" t="s">
        <v>460</v>
      </c>
      <c r="AD38" s="5432"/>
      <c r="AE38" s="5313"/>
      <c r="AF38" s="5400"/>
      <c r="AG38" s="5235" t="s">
        <v>564</v>
      </c>
      <c r="AH38" s="5475" t="s">
        <v>565</v>
      </c>
      <c r="AI38" s="5475"/>
      <c r="AJ38" s="5475"/>
      <c r="AK38" s="5475" t="s">
        <v>566</v>
      </c>
      <c r="AL38" s="5475"/>
      <c r="AM38" s="5475"/>
      <c r="AN38" s="5312" t="s">
        <v>460</v>
      </c>
      <c r="AO38" s="5432"/>
      <c r="AP38" s="5313"/>
      <c r="AQ38" s="5400"/>
      <c r="AR38" s="5403"/>
      <c r="AS38" s="5235"/>
      <c r="AT38" s="1562"/>
      <c r="AU38" s="1562"/>
      <c r="AV38" s="1562"/>
      <c r="AW38" s="1562"/>
      <c r="AX38" s="1562"/>
      <c r="AY38" s="1557">
        <v>19</v>
      </c>
    </row>
    <row r="39" spans="1:51" ht="19.899999999999999" customHeight="1">
      <c r="Q39" s="312"/>
      <c r="R39" s="312"/>
      <c r="S39" s="5395"/>
      <c r="T39" s="5339"/>
      <c r="U39" s="960"/>
      <c r="V39" s="5235"/>
      <c r="W39" s="5475" t="s">
        <v>567</v>
      </c>
      <c r="X39" s="5475" t="s">
        <v>568</v>
      </c>
      <c r="Y39" s="5475"/>
      <c r="Z39" s="5475" t="s">
        <v>569</v>
      </c>
      <c r="AA39" s="5475" t="s">
        <v>568</v>
      </c>
      <c r="AB39" s="5475"/>
      <c r="AC39" s="5317"/>
      <c r="AD39" s="5433"/>
      <c r="AE39" s="5318"/>
      <c r="AF39" s="5400"/>
      <c r="AG39" s="5235"/>
      <c r="AH39" s="5475" t="s">
        <v>567</v>
      </c>
      <c r="AI39" s="5475" t="s">
        <v>568</v>
      </c>
      <c r="AJ39" s="5475"/>
      <c r="AK39" s="5475" t="s">
        <v>569</v>
      </c>
      <c r="AL39" s="5475" t="s">
        <v>568</v>
      </c>
      <c r="AM39" s="5475"/>
      <c r="AN39" s="5317"/>
      <c r="AO39" s="5433"/>
      <c r="AP39" s="5318"/>
      <c r="AQ39" s="5400"/>
      <c r="AR39" s="5403"/>
      <c r="AS39" s="5235"/>
      <c r="AY39" s="1081">
        <v>19</v>
      </c>
    </row>
    <row r="40" spans="1:51" ht="61.9" customHeight="1">
      <c r="A40" s="1296"/>
      <c r="B40" s="1296" t="s">
        <v>137</v>
      </c>
      <c r="C40" s="1296" t="s">
        <v>138</v>
      </c>
      <c r="D40" s="1296" t="s">
        <v>139</v>
      </c>
      <c r="E40" s="1290" t="s">
        <v>461</v>
      </c>
      <c r="F40" s="1290" t="s">
        <v>462</v>
      </c>
      <c r="G40" s="1290" t="s">
        <v>463</v>
      </c>
      <c r="H40" s="1290"/>
      <c r="I40" s="1290" t="s">
        <v>522</v>
      </c>
      <c r="J40" s="1290" t="s">
        <v>466</v>
      </c>
      <c r="K40" s="1290" t="s">
        <v>523</v>
      </c>
      <c r="L40" s="1290" t="s">
        <v>442</v>
      </c>
      <c r="Q40" s="312"/>
      <c r="R40" s="312"/>
      <c r="S40" s="5395"/>
      <c r="T40" s="5339"/>
      <c r="U40" s="239"/>
      <c r="V40" s="5235"/>
      <c r="W40" s="5475"/>
      <c r="X40" s="1904" t="s">
        <v>570</v>
      </c>
      <c r="Y40" s="1904" t="s">
        <v>571</v>
      </c>
      <c r="Z40" s="5475"/>
      <c r="AA40" s="1904" t="s">
        <v>572</v>
      </c>
      <c r="AB40" s="1904" t="s">
        <v>573</v>
      </c>
      <c r="AC40" s="1415" t="s">
        <v>470</v>
      </c>
      <c r="AD40" s="5344" t="s">
        <v>471</v>
      </c>
      <c r="AE40" s="5358"/>
      <c r="AF40" s="5401"/>
      <c r="AG40" s="5235"/>
      <c r="AH40" s="5475"/>
      <c r="AI40" s="1904" t="s">
        <v>570</v>
      </c>
      <c r="AJ40" s="1904" t="s">
        <v>571</v>
      </c>
      <c r="AK40" s="5475"/>
      <c r="AL40" s="1904" t="s">
        <v>572</v>
      </c>
      <c r="AM40" s="1904" t="s">
        <v>573</v>
      </c>
      <c r="AN40" s="1415" t="s">
        <v>470</v>
      </c>
      <c r="AO40" s="5344" t="s">
        <v>471</v>
      </c>
      <c r="AP40" s="5358"/>
      <c r="AQ40" s="5401"/>
      <c r="AR40" s="5404"/>
      <c r="AS40" s="5235"/>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900"/>
      <c r="X41" s="1900"/>
      <c r="Y41" s="1900"/>
      <c r="Z41" s="1900"/>
      <c r="AA41" s="1900"/>
      <c r="AB41" s="1408">
        <f ca="1">OFFSET(AB41,0,-1)+1</f>
        <v>1</v>
      </c>
      <c r="AC41" s="1408">
        <f ca="1">OFFSET(AC41,0,-1)+1</f>
        <v>2</v>
      </c>
      <c r="AD41" s="5392">
        <f ca="1">OFFSET(AD41,0,-1)+1</f>
        <v>3</v>
      </c>
      <c r="AE41" s="5392"/>
      <c r="AF41" s="1408">
        <f ca="1">OFFSET(AF41,0,-2)+1</f>
        <v>4</v>
      </c>
      <c r="AG41" s="1408">
        <f ca="1">OFFSET(AG41,0,-1)+1</f>
        <v>5</v>
      </c>
      <c r="AH41" s="1900"/>
      <c r="AI41" s="1900"/>
      <c r="AJ41" s="1900"/>
      <c r="AK41" s="1900"/>
      <c r="AL41" s="1900"/>
      <c r="AM41" s="1408">
        <f ca="1">OFFSET(AM41,0,-1)+1</f>
        <v>1</v>
      </c>
      <c r="AN41" s="1408">
        <f ca="1">OFFSET(AN41,0,-1)+1</f>
        <v>2</v>
      </c>
      <c r="AO41" s="5392">
        <f ca="1">OFFSET(AO41,0,-1)+1</f>
        <v>3</v>
      </c>
      <c r="AP41" s="5392"/>
      <c r="AQ41" s="1408">
        <f ca="1">OFFSET(AQ41,0,-2)+1</f>
        <v>4</v>
      </c>
      <c r="AR41" s="1171">
        <f ca="1">OFFSET(AR41,0,-1)</f>
        <v>4</v>
      </c>
      <c r="AS41" s="1408">
        <f ca="1">OFFSET(AS41,0,-1)+1</f>
        <v>5</v>
      </c>
      <c r="AT41" s="447"/>
      <c r="AU41" s="447"/>
      <c r="AV41" s="447"/>
      <c r="AW41" s="447"/>
      <c r="AX41" s="447"/>
      <c r="AY41" s="432">
        <v>0</v>
      </c>
    </row>
    <row r="42" spans="1:51" ht="24" customHeight="1">
      <c r="A42" s="1289" t="s">
        <v>283</v>
      </c>
      <c r="B42" s="1289"/>
      <c r="C42" s="1289"/>
      <c r="D42" s="1289"/>
      <c r="E42" s="5381">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5373"/>
      <c r="W42" s="5374"/>
      <c r="X42" s="5374"/>
      <c r="Y42" s="5374"/>
      <c r="Z42" s="5374"/>
      <c r="AA42" s="5374"/>
      <c r="AB42" s="5374"/>
      <c r="AC42" s="5374"/>
      <c r="AD42" s="5374"/>
      <c r="AE42" s="5374"/>
      <c r="AF42" s="5375"/>
      <c r="AG42" s="5373" t="str">
        <f>INDEX(PT_DIFFERENTIATION_NTAR,MATCH(A42,PT_DIFFERENTIATION_NTAR_ID,0))</f>
        <v/>
      </c>
      <c r="AH42" s="5374"/>
      <c r="AI42" s="5374"/>
      <c r="AJ42" s="5374"/>
      <c r="AK42" s="5374"/>
      <c r="AL42" s="5374"/>
      <c r="AM42" s="5374"/>
      <c r="AN42" s="5374"/>
      <c r="AO42" s="5374"/>
      <c r="AP42" s="5374"/>
      <c r="AQ42" s="5374"/>
      <c r="AR42" s="5375"/>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283</v>
      </c>
      <c r="B43" s="1289" t="s">
        <v>284</v>
      </c>
      <c r="C43" s="1289"/>
      <c r="D43" s="1289"/>
      <c r="E43" s="5382"/>
      <c r="F43" s="5381">
        <v>1</v>
      </c>
      <c r="G43" s="1289"/>
      <c r="H43" s="1289"/>
      <c r="I43" s="1289"/>
      <c r="J43" s="1289"/>
      <c r="K43" s="1289"/>
      <c r="L43" s="1290"/>
      <c r="M43" s="1291"/>
      <c r="N43" s="1291"/>
      <c r="O43" s="1291"/>
      <c r="P43" s="1413"/>
      <c r="Q43" s="288"/>
      <c r="R43" s="289"/>
      <c r="S43" s="1419" t="str">
        <f>INDEX(PT_DIFFERENTIATION_NUM_TER,MATCH(B43,PT_DIFFERENTIATION_TER_ID,0))</f>
        <v>.</v>
      </c>
      <c r="T43" s="245" t="s">
        <v>424</v>
      </c>
      <c r="U43" s="237"/>
      <c r="V43" s="5373"/>
      <c r="W43" s="5374"/>
      <c r="X43" s="5374"/>
      <c r="Y43" s="5374"/>
      <c r="Z43" s="5374"/>
      <c r="AA43" s="5374"/>
      <c r="AB43" s="5374"/>
      <c r="AC43" s="5374"/>
      <c r="AD43" s="5374"/>
      <c r="AE43" s="5374"/>
      <c r="AF43" s="5375"/>
      <c r="AG43" s="5373" t="str">
        <f>INDEX(PT_DIFFERENTIATION_TER,MATCH(B43,PT_DIFFERENTIATION_TER_ID,0))</f>
        <v/>
      </c>
      <c r="AH43" s="5374"/>
      <c r="AI43" s="5374"/>
      <c r="AJ43" s="5374"/>
      <c r="AK43" s="5374"/>
      <c r="AL43" s="5374"/>
      <c r="AM43" s="5374"/>
      <c r="AN43" s="5374"/>
      <c r="AO43" s="5374"/>
      <c r="AP43" s="5374"/>
      <c r="AQ43" s="5374"/>
      <c r="AR43" s="5375"/>
      <c r="AS43" s="1184" t="s">
        <v>425</v>
      </c>
      <c r="AU43" s="436"/>
      <c r="AV43" s="436" t="str">
        <f t="shared" si="1"/>
        <v>Территория действия тарифа</v>
      </c>
      <c r="AW43" s="436"/>
      <c r="AX43" s="436"/>
      <c r="AY43" s="1081">
        <v>23</v>
      </c>
    </row>
    <row r="44" spans="1:51" ht="24" customHeight="1">
      <c r="A44" s="1289" t="s">
        <v>283</v>
      </c>
      <c r="B44" s="1289" t="s">
        <v>284</v>
      </c>
      <c r="C44" s="1289" t="s">
        <v>285</v>
      </c>
      <c r="D44" s="1289"/>
      <c r="E44" s="5382"/>
      <c r="F44" s="5382"/>
      <c r="G44" s="5381">
        <v>1</v>
      </c>
      <c r="H44" s="1289"/>
      <c r="I44" s="1289"/>
      <c r="J44" s="1289"/>
      <c r="K44" s="1289"/>
      <c r="L44" s="1290"/>
      <c r="M44" s="1291"/>
      <c r="N44" s="1291"/>
      <c r="O44" s="1291"/>
      <c r="P44" s="290"/>
      <c r="Q44" s="288"/>
      <c r="R44" s="289"/>
      <c r="S44" s="1419" t="str">
        <f>INDEX(PT_DIFFERENTIATION_NUM_CS,MATCH(C44,PT_DIFFERENTIATION_CS_ID,0))</f>
        <v>..</v>
      </c>
      <c r="T44" s="246" t="s">
        <v>562</v>
      </c>
      <c r="U44" s="237"/>
      <c r="V44" s="5373"/>
      <c r="W44" s="5374"/>
      <c r="X44" s="5374"/>
      <c r="Y44" s="5374"/>
      <c r="Z44" s="5374"/>
      <c r="AA44" s="5374"/>
      <c r="AB44" s="5374"/>
      <c r="AC44" s="5374"/>
      <c r="AD44" s="5374"/>
      <c r="AE44" s="5374"/>
      <c r="AF44" s="5375"/>
      <c r="AG44" s="5373" t="str">
        <f>INDEX(PT_DIFFERENTIATION_CS,MATCH(C44,PT_DIFFERENTIATION_CS_ID,0))</f>
        <v/>
      </c>
      <c r="AH44" s="5374"/>
      <c r="AI44" s="5374"/>
      <c r="AJ44" s="5374"/>
      <c r="AK44" s="5374"/>
      <c r="AL44" s="5374"/>
      <c r="AM44" s="5374"/>
      <c r="AN44" s="5374"/>
      <c r="AO44" s="5374"/>
      <c r="AP44" s="5374"/>
      <c r="AQ44" s="5374"/>
      <c r="AR44" s="5375"/>
      <c r="AS44" s="1184" t="s">
        <v>563</v>
      </c>
      <c r="AU44" s="436"/>
      <c r="AV44" s="436" t="str">
        <f t="shared" si="1"/>
        <v>Наименование централизованной системы горячего водоснабжения</v>
      </c>
      <c r="AW44" s="436"/>
      <c r="AX44" s="436"/>
      <c r="AY44" s="1081">
        <v>23</v>
      </c>
    </row>
    <row r="45" spans="1:51" ht="24" customHeight="1">
      <c r="A45" s="1289" t="s">
        <v>283</v>
      </c>
      <c r="B45" s="1289" t="s">
        <v>284</v>
      </c>
      <c r="C45" s="1289" t="s">
        <v>285</v>
      </c>
      <c r="D45" s="1289" t="s">
        <v>575</v>
      </c>
      <c r="E45" s="5382"/>
      <c r="F45" s="5382"/>
      <c r="G45" s="5382"/>
      <c r="H45" s="5382"/>
      <c r="I45" s="5383" t="str">
        <f>S44&amp;".1"</f>
        <v>...1</v>
      </c>
      <c r="J45" s="1289"/>
      <c r="K45" s="1289"/>
      <c r="L45" s="1290"/>
      <c r="P45" s="5385">
        <v>1</v>
      </c>
      <c r="Q45" s="1407"/>
      <c r="R45" s="292"/>
      <c r="S45" s="1419" t="str">
        <f>$I45</f>
        <v>...1</v>
      </c>
      <c r="T45" s="222" t="s">
        <v>515</v>
      </c>
      <c r="U45" s="237"/>
      <c r="V45" s="5459"/>
      <c r="W45" s="5460"/>
      <c r="X45" s="5460"/>
      <c r="Y45" s="5460"/>
      <c r="Z45" s="5460"/>
      <c r="AA45" s="5460"/>
      <c r="AB45" s="5460"/>
      <c r="AC45" s="5460"/>
      <c r="AD45" s="5460"/>
      <c r="AE45" s="5460"/>
      <c r="AF45" s="5461"/>
      <c r="AG45" s="5462"/>
      <c r="AH45" s="5463"/>
      <c r="AI45" s="5463"/>
      <c r="AJ45" s="5463"/>
      <c r="AK45" s="5463"/>
      <c r="AL45" s="5463"/>
      <c r="AM45" s="5463"/>
      <c r="AN45" s="5463"/>
      <c r="AO45" s="5463"/>
      <c r="AP45" s="5463"/>
      <c r="AQ45" s="5463"/>
      <c r="AR45" s="5464"/>
      <c r="AS45" s="1184" t="s">
        <v>516</v>
      </c>
      <c r="AU45" s="436"/>
      <c r="AV45" s="436" t="str">
        <f t="shared" si="1"/>
        <v>Наименование признака дифференциации</v>
      </c>
      <c r="AW45" s="436"/>
      <c r="AX45" s="436"/>
      <c r="AY45" s="1081">
        <v>23</v>
      </c>
    </row>
    <row r="46" spans="1:51" ht="24" customHeight="1">
      <c r="A46" s="1289" t="s">
        <v>283</v>
      </c>
      <c r="B46" s="1289" t="s">
        <v>284</v>
      </c>
      <c r="C46" s="1289" t="s">
        <v>285</v>
      </c>
      <c r="D46" s="1289" t="s">
        <v>575</v>
      </c>
      <c r="E46" s="5382"/>
      <c r="F46" s="5382"/>
      <c r="G46" s="5382"/>
      <c r="H46" s="5382"/>
      <c r="I46" s="5384"/>
      <c r="J46" s="5383" t="str">
        <f>I45&amp;".1"</f>
        <v>...1.1</v>
      </c>
      <c r="K46" s="1289"/>
      <c r="L46" s="1290" t="s">
        <v>433</v>
      </c>
      <c r="P46" s="5385"/>
      <c r="Q46" s="5385">
        <v>1</v>
      </c>
      <c r="R46" s="293"/>
      <c r="S46" s="1419" t="str">
        <f>$J46</f>
        <v>...1.1</v>
      </c>
      <c r="T46" s="223" t="s">
        <v>434</v>
      </c>
      <c r="U46" s="237"/>
      <c r="V46" s="5366"/>
      <c r="W46" s="5367"/>
      <c r="X46" s="5367"/>
      <c r="Y46" s="5367"/>
      <c r="Z46" s="5367"/>
      <c r="AA46" s="5367"/>
      <c r="AB46" s="5367"/>
      <c r="AC46" s="5367"/>
      <c r="AD46" s="5367"/>
      <c r="AE46" s="5367"/>
      <c r="AF46" s="5368"/>
      <c r="AG46" s="5366"/>
      <c r="AH46" s="5367"/>
      <c r="AI46" s="5367"/>
      <c r="AJ46" s="5367"/>
      <c r="AK46" s="5367"/>
      <c r="AL46" s="5367"/>
      <c r="AM46" s="5367"/>
      <c r="AN46" s="5367"/>
      <c r="AO46" s="5367"/>
      <c r="AP46" s="5367"/>
      <c r="AQ46" s="5367"/>
      <c r="AR46" s="5368"/>
      <c r="AS46" s="1233" t="s">
        <v>517</v>
      </c>
      <c r="AU46" s="436"/>
      <c r="AV46" s="436" t="str">
        <f t="shared" si="1"/>
        <v>Группа потребителей</v>
      </c>
      <c r="AW46" s="436"/>
      <c r="AX46" s="436"/>
      <c r="AY46" s="1081">
        <v>23</v>
      </c>
    </row>
    <row r="47" spans="1:51" ht="24" customHeight="1">
      <c r="A47" s="1289" t="s">
        <v>283</v>
      </c>
      <c r="B47" s="1289" t="s">
        <v>284</v>
      </c>
      <c r="C47" s="1289" t="s">
        <v>285</v>
      </c>
      <c r="D47" s="1289" t="s">
        <v>575</v>
      </c>
      <c r="E47" s="5382"/>
      <c r="F47" s="5382"/>
      <c r="G47" s="5382"/>
      <c r="H47" s="5382"/>
      <c r="I47" s="5384"/>
      <c r="J47" s="5384"/>
      <c r="K47" s="5383" t="str">
        <f>J46&amp;".1"</f>
        <v>...1.1.1</v>
      </c>
      <c r="L47" s="1290"/>
      <c r="P47" s="5385"/>
      <c r="Q47" s="5385"/>
      <c r="R47" s="293">
        <v>1</v>
      </c>
      <c r="S47" s="1419" t="str">
        <f>$K47</f>
        <v>...1.1.1</v>
      </c>
      <c r="T47" s="1363"/>
      <c r="U47" s="237"/>
      <c r="V47" s="1286"/>
      <c r="W47" s="1286"/>
      <c r="X47" s="1286"/>
      <c r="Y47" s="1286"/>
      <c r="Z47" s="1286"/>
      <c r="AA47" s="1286"/>
      <c r="AB47" s="1287"/>
      <c r="AC47" s="5378"/>
      <c r="AD47" s="5377" t="s">
        <v>65</v>
      </c>
      <c r="AE47" s="5378"/>
      <c r="AF47" s="5377" t="s">
        <v>65</v>
      </c>
      <c r="AG47" s="687"/>
      <c r="AH47" s="687"/>
      <c r="AI47" s="687"/>
      <c r="AJ47" s="687"/>
      <c r="AK47" s="687"/>
      <c r="AL47" s="687"/>
      <c r="AM47" s="1183"/>
      <c r="AN47" s="5386"/>
      <c r="AO47" s="5245" t="s">
        <v>65</v>
      </c>
      <c r="AP47" s="5388"/>
      <c r="AQ47" s="5245" t="s">
        <v>19</v>
      </c>
      <c r="AR47" s="1364"/>
      <c r="AS47" s="546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283</v>
      </c>
      <c r="B48" s="1289" t="s">
        <v>284</v>
      </c>
      <c r="C48" s="1289" t="s">
        <v>285</v>
      </c>
      <c r="D48" s="1289" t="s">
        <v>575</v>
      </c>
      <c r="E48" s="5382"/>
      <c r="F48" s="5382"/>
      <c r="G48" s="5382"/>
      <c r="H48" s="5382"/>
      <c r="I48" s="5384"/>
      <c r="J48" s="5384"/>
      <c r="K48" s="5383"/>
      <c r="L48" s="1290"/>
      <c r="P48" s="5385"/>
      <c r="Q48" s="5385"/>
      <c r="R48" s="293"/>
      <c r="S48" s="1416"/>
      <c r="T48" s="237"/>
      <c r="U48" s="237"/>
      <c r="V48" s="1286"/>
      <c r="W48" s="1286"/>
      <c r="X48" s="1286"/>
      <c r="Y48" s="1286"/>
      <c r="Z48" s="1286"/>
      <c r="AA48" s="1286"/>
      <c r="AB48" s="265" t="str">
        <f>AC47&amp;"-"&amp;AE47</f>
        <v>-</v>
      </c>
      <c r="AC48" s="5377"/>
      <c r="AD48" s="5377"/>
      <c r="AE48" s="5377"/>
      <c r="AF48" s="5377"/>
      <c r="AG48" s="262"/>
      <c r="AH48" s="262"/>
      <c r="AI48" s="262"/>
      <c r="AJ48" s="262"/>
      <c r="AK48" s="262"/>
      <c r="AL48" s="262"/>
      <c r="AM48" s="265" t="str">
        <f>AN47&amp;"-"&amp;AP47</f>
        <v>-</v>
      </c>
      <c r="AN48" s="5387"/>
      <c r="AO48" s="5245"/>
      <c r="AP48" s="5389"/>
      <c r="AQ48" s="5245"/>
      <c r="AR48" s="1365"/>
      <c r="AS48" s="5465"/>
      <c r="AU48" s="436"/>
      <c r="AV48" s="436" t="str">
        <f t="shared" si="1"/>
        <v/>
      </c>
      <c r="AW48" s="436"/>
      <c r="AX48" s="436"/>
      <c r="AY48" s="1081">
        <v>0</v>
      </c>
    </row>
    <row r="49" spans="1:51" ht="21" customHeight="1">
      <c r="A49" s="1289" t="s">
        <v>283</v>
      </c>
      <c r="B49" s="1289" t="s">
        <v>284</v>
      </c>
      <c r="C49" s="1289" t="s">
        <v>285</v>
      </c>
      <c r="D49" s="1289" t="s">
        <v>575</v>
      </c>
      <c r="E49" s="5382"/>
      <c r="F49" s="5382"/>
      <c r="G49" s="5382"/>
      <c r="H49" s="5382"/>
      <c r="I49" s="5384"/>
      <c r="J49" s="5383"/>
      <c r="K49" s="1289"/>
      <c r="L49" s="1290"/>
      <c r="P49" s="5385"/>
      <c r="Q49" s="5385"/>
      <c r="R49" s="292"/>
      <c r="S49" s="1204"/>
      <c r="T49" s="224" t="s">
        <v>518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519</v>
      </c>
      <c r="AU49" s="436"/>
      <c r="AV49" s="436" t="str">
        <f t="shared" si="1"/>
        <v>Добавить значение признака дифференциации</v>
      </c>
      <c r="AW49" s="436"/>
      <c r="AX49" s="436"/>
      <c r="AY49" s="1081">
        <v>20</v>
      </c>
    </row>
    <row r="50" spans="1:51" ht="21.95" customHeight="1">
      <c r="A50" s="1289" t="s">
        <v>283</v>
      </c>
      <c r="B50" s="1289" t="s">
        <v>284</v>
      </c>
      <c r="C50" s="1289" t="s">
        <v>285</v>
      </c>
      <c r="D50" s="1289" t="s">
        <v>575</v>
      </c>
      <c r="E50" s="5382"/>
      <c r="F50" s="5382"/>
      <c r="G50" s="5382"/>
      <c r="H50" s="5382"/>
      <c r="I50" s="5383"/>
      <c r="J50" s="1289"/>
      <c r="K50" s="1289"/>
      <c r="L50" s="1290"/>
      <c r="P50" s="5385"/>
      <c r="Q50" s="1407"/>
      <c r="R50" s="292"/>
      <c r="S50" s="1204"/>
      <c r="T50" s="301" t="s">
        <v>439</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283</v>
      </c>
      <c r="B51" s="1289" t="s">
        <v>284</v>
      </c>
      <c r="C51" s="1289" t="s">
        <v>285</v>
      </c>
      <c r="D51" s="1289" t="s">
        <v>575</v>
      </c>
      <c r="E51" s="5382"/>
      <c r="F51" s="5382"/>
      <c r="G51" s="5382"/>
      <c r="H51" s="5381"/>
      <c r="I51" s="1289"/>
      <c r="J51" s="1289"/>
      <c r="K51" s="1289"/>
      <c r="L51" s="1290"/>
      <c r="M51" s="1291"/>
      <c r="N51" s="1291"/>
      <c r="O51" s="473"/>
      <c r="P51" s="296"/>
      <c r="Q51" s="311"/>
      <c r="R51" s="291"/>
      <c r="S51" s="1204"/>
      <c r="T51" s="308" t="s">
        <v>520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283</v>
      </c>
      <c r="B52" s="1269" t="s">
        <v>284</v>
      </c>
      <c r="C52" s="1240"/>
      <c r="D52" s="1240"/>
      <c r="E52" s="5382"/>
      <c r="F52" s="5381"/>
      <c r="G52" s="1240"/>
      <c r="H52" s="1240"/>
      <c r="I52" s="1240"/>
      <c r="J52" s="1240"/>
      <c r="K52" s="1240"/>
      <c r="L52" s="1420"/>
      <c r="M52" s="1247"/>
      <c r="N52" s="1247"/>
      <c r="P52" s="1242"/>
      <c r="Q52" s="1243"/>
      <c r="R52" s="1242"/>
      <c r="S52" s="1248"/>
      <c r="T52" s="1251" t="s">
        <v>164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283</v>
      </c>
      <c r="B53" s="1269"/>
      <c r="C53" s="1269"/>
      <c r="D53" s="1269"/>
      <c r="E53" s="5381"/>
      <c r="F53" s="1269"/>
      <c r="G53" s="1269"/>
      <c r="H53" s="1269"/>
      <c r="I53" s="1269"/>
      <c r="J53" s="1269"/>
      <c r="K53" s="1269"/>
      <c r="L53" s="1272"/>
      <c r="M53" s="1247"/>
      <c r="N53" s="1247"/>
      <c r="O53" s="454"/>
      <c r="P53" s="316"/>
      <c r="Q53" s="1270"/>
      <c r="R53" s="316"/>
      <c r="S53" s="1248"/>
      <c r="T53" s="1251" t="s">
        <v>165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182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5379"/>
      <c r="U56" s="5379"/>
      <c r="V56" s="5379"/>
      <c r="W56" s="5379"/>
      <c r="X56" s="5379"/>
      <c r="Y56" s="5379"/>
      <c r="Z56" s="5379"/>
      <c r="AA56" s="5379"/>
      <c r="AB56" s="5379"/>
      <c r="AC56" s="5379"/>
      <c r="AD56" s="5379"/>
      <c r="AE56" s="5379"/>
      <c r="AF56" s="5379"/>
      <c r="AG56" s="5379"/>
      <c r="AH56" s="5379"/>
      <c r="AI56" s="5379"/>
      <c r="AJ56" s="5379"/>
      <c r="AK56" s="5379"/>
      <c r="AL56" s="5379"/>
      <c r="AM56" s="5379"/>
      <c r="AN56" s="5379"/>
      <c r="AO56" s="5379"/>
      <c r="AP56" s="5379"/>
      <c r="AQ56" s="5379"/>
      <c r="AR56" s="5379"/>
      <c r="AS56" s="5379"/>
      <c r="AY56" s="1081">
        <v>14</v>
      </c>
    </row>
    <row r="57" spans="1:51" ht="14.65" customHeight="1">
      <c r="O57" s="473"/>
      <c r="AY57" s="1081">
        <v>14</v>
      </c>
    </row>
    <row r="58" spans="1:51" ht="14.65" customHeight="1">
      <c r="O58" s="473"/>
      <c r="S58" s="1179"/>
      <c r="T58" s="5379"/>
      <c r="U58" s="5379"/>
      <c r="V58" s="5379"/>
      <c r="W58" s="5379"/>
      <c r="X58" s="5379"/>
      <c r="Y58" s="5379"/>
      <c r="Z58" s="5379"/>
      <c r="AA58" s="5379"/>
      <c r="AB58" s="5379"/>
      <c r="AC58" s="5379"/>
      <c r="AD58" s="5379"/>
      <c r="AE58" s="5379"/>
      <c r="AF58" s="5379"/>
      <c r="AG58" s="5379"/>
      <c r="AH58" s="5379"/>
      <c r="AI58" s="5379"/>
      <c r="AJ58" s="5379"/>
      <c r="AK58" s="5379"/>
      <c r="AL58" s="5379"/>
      <c r="AM58" s="5379"/>
      <c r="AN58" s="5379"/>
      <c r="AO58" s="5379"/>
      <c r="AP58" s="5379"/>
      <c r="AQ58" s="5379"/>
      <c r="AR58" s="5379"/>
      <c r="AS58" s="5379"/>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3"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5381">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5374"/>
      <c r="W2" s="5374"/>
      <c r="X2" s="5374"/>
      <c r="Y2" s="5374"/>
      <c r="Z2" s="5374"/>
      <c r="AA2" s="5374"/>
      <c r="AB2" s="5374"/>
      <c r="AC2" s="5375"/>
      <c r="AD2" s="5373" t="e">
        <f>INDEX(PT_DIFFERENTIATION_NTAR,MATCH(A2,PT_DIFFERENTIATION_NTAR_ID,0))</f>
        <v>#N/A</v>
      </c>
      <c r="AE2" s="5374"/>
      <c r="AF2" s="5374"/>
      <c r="AG2" s="5374"/>
      <c r="AH2" s="5374"/>
      <c r="AI2" s="5374"/>
      <c r="AJ2" s="5374"/>
      <c r="AK2" s="5374"/>
      <c r="AL2" s="5374"/>
      <c r="AM2" s="5374"/>
      <c r="AN2" s="5374"/>
      <c r="AO2" s="5374"/>
      <c r="AP2" s="5374"/>
      <c r="AQ2" s="5374"/>
      <c r="AR2" s="5374"/>
      <c r="AS2" s="5374"/>
      <c r="AT2" s="5374"/>
      <c r="AU2" s="5374"/>
      <c r="AV2" s="5374"/>
      <c r="AW2" s="5374"/>
      <c r="AX2" s="5374"/>
      <c r="AY2" s="5374"/>
      <c r="AZ2" s="5374"/>
      <c r="BA2" s="5374"/>
      <c r="BB2" s="537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5382"/>
      <c r="F3" s="5381">
        <v>1</v>
      </c>
      <c r="G3" s="1289"/>
      <c r="H3" s="1289"/>
      <c r="I3" s="1289"/>
      <c r="J3" s="1289"/>
      <c r="K3" s="1289"/>
      <c r="L3" s="1290"/>
      <c r="M3" s="1291"/>
      <c r="N3" s="1291"/>
      <c r="O3" s="1291"/>
      <c r="P3" s="1336"/>
      <c r="Q3" s="1337"/>
      <c r="R3" s="289"/>
      <c r="S3" s="1419" t="e">
        <f>INDEX(PT_DIFFERENTIATION_NUM_TER,MATCH(B3,PT_DIFFERENTIATION_TER_ID,0))</f>
        <v>#N/A</v>
      </c>
      <c r="T3" s="245" t="s">
        <v>424</v>
      </c>
      <c r="U3" s="237"/>
      <c r="V3" s="5374"/>
      <c r="W3" s="5374"/>
      <c r="X3" s="5374"/>
      <c r="Y3" s="5374"/>
      <c r="Z3" s="5374"/>
      <c r="AA3" s="5374"/>
      <c r="AB3" s="5374"/>
      <c r="AC3" s="5375"/>
      <c r="AD3" s="5373" t="e">
        <f>INDEX(PT_DIFFERENTIATION_TER,MATCH(B3,PT_DIFFERENTIATION_TER_ID,0))</f>
        <v>#N/A</v>
      </c>
      <c r="AE3" s="5374"/>
      <c r="AF3" s="5374"/>
      <c r="AG3" s="5374"/>
      <c r="AH3" s="5374"/>
      <c r="AI3" s="5374"/>
      <c r="AJ3" s="5374"/>
      <c r="AK3" s="5374"/>
      <c r="AL3" s="5374"/>
      <c r="AM3" s="5374"/>
      <c r="AN3" s="5374"/>
      <c r="AO3" s="5374"/>
      <c r="AP3" s="5374"/>
      <c r="AQ3" s="5374"/>
      <c r="AR3" s="5374"/>
      <c r="AS3" s="5374"/>
      <c r="AT3" s="5374"/>
      <c r="AU3" s="5374"/>
      <c r="AV3" s="5374"/>
      <c r="AW3" s="5374"/>
      <c r="AX3" s="5374"/>
      <c r="AY3" s="5374"/>
      <c r="AZ3" s="5374"/>
      <c r="BA3" s="5374"/>
      <c r="BB3" s="5375"/>
      <c r="BC3" s="1184" t="s">
        <v>425</v>
      </c>
      <c r="BE3" s="436"/>
      <c r="BF3" s="436" t="str">
        <f t="shared" si="0"/>
        <v>Территория действия тарифа</v>
      </c>
      <c r="BG3" s="436"/>
      <c r="BH3" s="436"/>
      <c r="BI3" s="1081">
        <v>0</v>
      </c>
    </row>
    <row r="4" spans="1:61" ht="33.75" hidden="1" customHeight="1">
      <c r="A4" s="1289"/>
      <c r="B4" s="1289"/>
      <c r="C4" s="1289"/>
      <c r="D4" s="1289"/>
      <c r="E4" s="5382"/>
      <c r="F4" s="5382"/>
      <c r="G4" s="5381">
        <v>1</v>
      </c>
      <c r="H4" s="1289"/>
      <c r="I4" s="1289"/>
      <c r="J4" s="1289"/>
      <c r="K4" s="1289"/>
      <c r="L4" s="1290"/>
      <c r="M4" s="1291"/>
      <c r="N4" s="1291"/>
      <c r="O4" s="1291"/>
      <c r="P4" s="1338"/>
      <c r="Q4" s="1337"/>
      <c r="R4" s="289"/>
      <c r="S4" s="1419" t="e">
        <f>INDEX(PT_DIFFERENTIATION_NUM_CS,MATCH(C4,PT_DIFFERENTIATION_CS_ID,0))</f>
        <v>#N/A</v>
      </c>
      <c r="T4" s="246" t="s">
        <v>562</v>
      </c>
      <c r="U4" s="237"/>
      <c r="V4" s="5374"/>
      <c r="W4" s="5374"/>
      <c r="X4" s="5374"/>
      <c r="Y4" s="5374"/>
      <c r="Z4" s="5374"/>
      <c r="AA4" s="5374"/>
      <c r="AB4" s="5374"/>
      <c r="AC4" s="5375"/>
      <c r="AD4" s="5373" t="e">
        <f>INDEX(PT_DIFFERENTIATION_CS,MATCH(C4,PT_DIFFERENTIATION_CS_ID,0))</f>
        <v>#N/A</v>
      </c>
      <c r="AE4" s="5374"/>
      <c r="AF4" s="5374"/>
      <c r="AG4" s="5374"/>
      <c r="AH4" s="5374"/>
      <c r="AI4" s="5374"/>
      <c r="AJ4" s="5374"/>
      <c r="AK4" s="5374"/>
      <c r="AL4" s="5374"/>
      <c r="AM4" s="5374"/>
      <c r="AN4" s="5374"/>
      <c r="AO4" s="5374"/>
      <c r="AP4" s="5374"/>
      <c r="AQ4" s="5374"/>
      <c r="AR4" s="5374"/>
      <c r="AS4" s="5374"/>
      <c r="AT4" s="5374"/>
      <c r="AU4" s="5374"/>
      <c r="AV4" s="5374"/>
      <c r="AW4" s="5374"/>
      <c r="AX4" s="5374"/>
      <c r="AY4" s="5374"/>
      <c r="AZ4" s="5374"/>
      <c r="BA4" s="5374"/>
      <c r="BB4" s="5375"/>
      <c r="BC4" s="1184" t="s">
        <v>563</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5382"/>
      <c r="F5" s="5382"/>
      <c r="G5" s="5382"/>
      <c r="H5" s="5381">
        <v>1</v>
      </c>
      <c r="I5" s="1269"/>
      <c r="J5" s="1269"/>
      <c r="K5" s="1269"/>
      <c r="L5" s="1272"/>
      <c r="M5" s="1241"/>
      <c r="N5" s="1241"/>
      <c r="O5" s="1241"/>
      <c r="P5" s="1423"/>
      <c r="Q5" s="1424"/>
      <c r="R5" s="293"/>
      <c r="S5" s="971"/>
      <c r="T5" s="1425"/>
      <c r="U5" s="1310"/>
      <c r="V5" s="5421"/>
      <c r="W5" s="5421"/>
      <c r="X5" s="5421"/>
      <c r="Y5" s="5421"/>
      <c r="Z5" s="5421"/>
      <c r="AA5" s="5421"/>
      <c r="AB5" s="5421"/>
      <c r="AC5" s="5422"/>
      <c r="AD5" s="5420"/>
      <c r="AE5" s="5421"/>
      <c r="AF5" s="5421"/>
      <c r="AG5" s="5421"/>
      <c r="AH5" s="5421"/>
      <c r="AI5" s="5421"/>
      <c r="AJ5" s="5421"/>
      <c r="AK5" s="5421"/>
      <c r="AL5" s="5421"/>
      <c r="AM5" s="5421"/>
      <c r="AN5" s="5421"/>
      <c r="AO5" s="5421"/>
      <c r="AP5" s="5421"/>
      <c r="AQ5" s="5421"/>
      <c r="AR5" s="5421"/>
      <c r="AS5" s="5421"/>
      <c r="AT5" s="5421"/>
      <c r="AU5" s="5421"/>
      <c r="AV5" s="5421"/>
      <c r="AW5" s="5421"/>
      <c r="AX5" s="5421"/>
      <c r="AY5" s="5421"/>
      <c r="AZ5" s="5421"/>
      <c r="BA5" s="5421"/>
      <c r="BB5" s="5422"/>
      <c r="BC5" s="1311" t="s">
        <v>429</v>
      </c>
      <c r="BE5" s="436"/>
      <c r="BF5" s="436" t="str">
        <f t="shared" si="0"/>
        <v/>
      </c>
      <c r="BG5" s="436"/>
      <c r="BH5" s="436"/>
      <c r="BI5" s="447">
        <v>0</v>
      </c>
    </row>
    <row r="6" spans="1:61" s="1568" customFormat="1" ht="14.25" hidden="1" customHeight="1">
      <c r="A6" s="1269"/>
      <c r="B6" s="1269"/>
      <c r="C6" s="1269"/>
      <c r="D6" s="1269"/>
      <c r="E6" s="5382"/>
      <c r="F6" s="5382"/>
      <c r="G6" s="5382"/>
      <c r="H6" s="5382"/>
      <c r="I6" s="5383" t="str">
        <f>S5&amp;".1"</f>
        <v>.1</v>
      </c>
      <c r="J6" s="1269"/>
      <c r="K6" s="1269"/>
      <c r="L6" s="1272" t="s">
        <v>430</v>
      </c>
      <c r="M6" s="446"/>
      <c r="N6" s="446"/>
      <c r="O6" s="446"/>
      <c r="P6" s="5385">
        <v>1</v>
      </c>
      <c r="Q6" s="1407"/>
      <c r="R6" s="292"/>
      <c r="S6" s="971"/>
      <c r="T6" s="1309"/>
      <c r="U6" s="1310"/>
      <c r="V6" s="5421"/>
      <c r="W6" s="5421"/>
      <c r="X6" s="5421"/>
      <c r="Y6" s="5421"/>
      <c r="Z6" s="5421"/>
      <c r="AA6" s="5421"/>
      <c r="AB6" s="5421"/>
      <c r="AC6" s="5422"/>
      <c r="AD6" s="5420"/>
      <c r="AE6" s="5421"/>
      <c r="AF6" s="5421"/>
      <c r="AG6" s="5421"/>
      <c r="AH6" s="5421"/>
      <c r="AI6" s="5421"/>
      <c r="AJ6" s="5421"/>
      <c r="AK6" s="5421"/>
      <c r="AL6" s="5421"/>
      <c r="AM6" s="5421"/>
      <c r="AN6" s="5421"/>
      <c r="AO6" s="5421"/>
      <c r="AP6" s="5421"/>
      <c r="AQ6" s="5421"/>
      <c r="AR6" s="5421"/>
      <c r="AS6" s="5421"/>
      <c r="AT6" s="5421"/>
      <c r="AU6" s="5421"/>
      <c r="AV6" s="5421"/>
      <c r="AW6" s="5421"/>
      <c r="AX6" s="5421"/>
      <c r="AY6" s="5421"/>
      <c r="AZ6" s="5421"/>
      <c r="BA6" s="5421"/>
      <c r="BB6" s="5422"/>
      <c r="BC6" s="1311"/>
      <c r="BE6" s="436"/>
      <c r="BF6" s="436" t="str">
        <f t="shared" si="0"/>
        <v/>
      </c>
      <c r="BG6" s="436"/>
      <c r="BH6" s="436"/>
      <c r="BI6" s="447">
        <v>0</v>
      </c>
    </row>
    <row r="7" spans="1:61" s="1568" customFormat="1" ht="14.25" hidden="1" customHeight="1">
      <c r="A7" s="1269"/>
      <c r="B7" s="1269"/>
      <c r="C7" s="1269"/>
      <c r="D7" s="1269"/>
      <c r="E7" s="5382"/>
      <c r="F7" s="5382"/>
      <c r="G7" s="5382"/>
      <c r="H7" s="5382"/>
      <c r="I7" s="5384"/>
      <c r="J7" s="5383" t="str">
        <f>S5&amp;".1"</f>
        <v>.1</v>
      </c>
      <c r="K7" s="1269"/>
      <c r="L7" s="1272"/>
      <c r="M7" s="446"/>
      <c r="N7" s="446"/>
      <c r="O7" s="446"/>
      <c r="P7" s="5385"/>
      <c r="Q7" s="5385">
        <v>1</v>
      </c>
      <c r="R7" s="293"/>
      <c r="S7" s="971"/>
      <c r="T7" s="1325"/>
      <c r="U7" s="1310"/>
      <c r="V7" s="5421"/>
      <c r="W7" s="5421"/>
      <c r="X7" s="5421"/>
      <c r="Y7" s="5421"/>
      <c r="Z7" s="5421"/>
      <c r="AA7" s="5421"/>
      <c r="AB7" s="5421"/>
      <c r="AC7" s="5422"/>
      <c r="AD7" s="5420"/>
      <c r="AE7" s="5421"/>
      <c r="AF7" s="5421"/>
      <c r="AG7" s="5421"/>
      <c r="AH7" s="5421"/>
      <c r="AI7" s="5421"/>
      <c r="AJ7" s="5421"/>
      <c r="AK7" s="5421"/>
      <c r="AL7" s="5421"/>
      <c r="AM7" s="5421"/>
      <c r="AN7" s="5421"/>
      <c r="AO7" s="5421"/>
      <c r="AP7" s="5421"/>
      <c r="AQ7" s="5421"/>
      <c r="AR7" s="5421"/>
      <c r="AS7" s="5421"/>
      <c r="AT7" s="5421"/>
      <c r="AU7" s="5421"/>
      <c r="AV7" s="5421"/>
      <c r="AW7" s="5421"/>
      <c r="AX7" s="5421"/>
      <c r="AY7" s="5421"/>
      <c r="AZ7" s="5421"/>
      <c r="BA7" s="5421"/>
      <c r="BB7" s="5422"/>
      <c r="BC7" s="1311"/>
      <c r="BE7" s="436"/>
      <c r="BF7" s="436" t="str">
        <f t="shared" si="0"/>
        <v/>
      </c>
      <c r="BG7" s="436"/>
      <c r="BH7" s="436"/>
      <c r="BI7" s="447">
        <v>0</v>
      </c>
    </row>
    <row r="8" spans="1:61" ht="11.25" hidden="1" customHeight="1">
      <c r="A8" s="1289"/>
      <c r="B8" s="1289"/>
      <c r="C8" s="1289"/>
      <c r="D8" s="1289"/>
      <c r="E8" s="5382"/>
      <c r="F8" s="5382"/>
      <c r="G8" s="5382"/>
      <c r="H8" s="5382"/>
      <c r="I8" s="5384"/>
      <c r="J8" s="5384"/>
      <c r="K8" s="5383" t="e">
        <f>S4&amp;".1"</f>
        <v>#N/A</v>
      </c>
      <c r="L8" s="1290"/>
      <c r="P8" s="5385"/>
      <c r="Q8" s="5385"/>
      <c r="R8" s="5451">
        <v>1</v>
      </c>
      <c r="S8" s="5448" t="e">
        <f>$K8</f>
        <v>#N/A</v>
      </c>
      <c r="T8" s="5468"/>
      <c r="U8" s="237"/>
      <c r="V8" s="687"/>
      <c r="W8" s="1183"/>
      <c r="X8" s="687"/>
      <c r="Y8" s="1183"/>
      <c r="Z8" s="1659"/>
      <c r="AA8" s="1395" t="s">
        <v>65</v>
      </c>
      <c r="AB8" s="1659"/>
      <c r="AC8" s="1395" t="s">
        <v>65</v>
      </c>
      <c r="AD8" s="5303" t="s">
        <v>65</v>
      </c>
      <c r="AE8" s="5444"/>
      <c r="AF8" s="5335">
        <v>1</v>
      </c>
      <c r="AG8" s="5467"/>
      <c r="AH8" s="5245" t="s">
        <v>65</v>
      </c>
      <c r="AI8" s="5444"/>
      <c r="AJ8" s="5335">
        <v>1</v>
      </c>
      <c r="AK8" s="5458" t="s">
        <v>28</v>
      </c>
      <c r="AL8" s="5245" t="s">
        <v>65</v>
      </c>
      <c r="AM8" s="5312"/>
      <c r="AN8" s="5335">
        <v>1</v>
      </c>
      <c r="AO8" s="5471"/>
      <c r="AP8" s="5472" t="s">
        <v>65</v>
      </c>
      <c r="AQ8" s="248"/>
      <c r="AR8" s="1412">
        <v>1</v>
      </c>
      <c r="AS8" s="1418" t="s">
        <v>28</v>
      </c>
      <c r="AT8" s="687"/>
      <c r="AU8" s="1183"/>
      <c r="AV8" s="687"/>
      <c r="AW8" s="1183"/>
      <c r="AX8" s="1659"/>
      <c r="AY8" s="1395" t="s">
        <v>65</v>
      </c>
      <c r="AZ8" s="1659"/>
      <c r="BA8" s="1395" t="s">
        <v>65</v>
      </c>
      <c r="BB8" s="1274"/>
      <c r="BC8" s="5405" t="s">
        <v>533</v>
      </c>
      <c r="BE8" s="436"/>
      <c r="BF8" s="436" t="str">
        <f t="shared" si="0"/>
        <v/>
      </c>
      <c r="BG8" s="436"/>
      <c r="BH8" s="436"/>
      <c r="BI8" s="1081">
        <v>0</v>
      </c>
    </row>
    <row r="9" spans="1:61" ht="11.25" hidden="1" customHeight="1">
      <c r="A9" s="1289"/>
      <c r="B9" s="1289"/>
      <c r="C9" s="1289"/>
      <c r="D9" s="1289"/>
      <c r="E9" s="5382"/>
      <c r="F9" s="5382"/>
      <c r="G9" s="5382"/>
      <c r="H9" s="5382"/>
      <c r="I9" s="5384"/>
      <c r="J9" s="5384"/>
      <c r="K9" s="5383"/>
      <c r="L9" s="1290"/>
      <c r="P9" s="5385"/>
      <c r="Q9" s="5385"/>
      <c r="R9" s="5451"/>
      <c r="S9" s="5449"/>
      <c r="T9" s="5469"/>
      <c r="U9" s="237"/>
      <c r="V9" s="1319"/>
      <c r="W9" s="1422"/>
      <c r="X9" s="1319"/>
      <c r="Y9" s="1422"/>
      <c r="Z9" s="1319"/>
      <c r="AA9" s="1319"/>
      <c r="AB9" s="1319"/>
      <c r="AC9" s="1319"/>
      <c r="AD9" s="5304"/>
      <c r="AE9" s="5444"/>
      <c r="AF9" s="5335"/>
      <c r="AG9" s="5467"/>
      <c r="AH9" s="5245"/>
      <c r="AI9" s="5444"/>
      <c r="AJ9" s="5335"/>
      <c r="AK9" s="5458"/>
      <c r="AL9" s="5245"/>
      <c r="AM9" s="5317"/>
      <c r="AN9" s="5335"/>
      <c r="AO9" s="5471"/>
      <c r="AP9" s="5473"/>
      <c r="AQ9" s="253"/>
      <c r="AR9" s="352"/>
      <c r="AS9" s="352" t="s">
        <v>534</v>
      </c>
      <c r="AT9" s="1319"/>
      <c r="AU9" s="1422"/>
      <c r="AV9" s="1319"/>
      <c r="AW9" s="1422"/>
      <c r="AX9" s="1319"/>
      <c r="AY9" s="1319"/>
      <c r="AZ9" s="1319"/>
      <c r="BA9" s="1319"/>
      <c r="BB9" s="1323"/>
      <c r="BC9" s="5406"/>
      <c r="BE9" s="436"/>
      <c r="BF9" s="436"/>
      <c r="BG9" s="436"/>
      <c r="BH9" s="436"/>
      <c r="BI9" s="1081">
        <v>0</v>
      </c>
    </row>
    <row r="10" spans="1:61" ht="11.25" hidden="1" customHeight="1">
      <c r="A10" s="1289"/>
      <c r="B10" s="1289"/>
      <c r="C10" s="1289"/>
      <c r="D10" s="1289"/>
      <c r="E10" s="5382"/>
      <c r="F10" s="5382"/>
      <c r="G10" s="5382"/>
      <c r="H10" s="5382"/>
      <c r="I10" s="5384"/>
      <c r="J10" s="5384"/>
      <c r="K10" s="5383"/>
      <c r="L10" s="1290"/>
      <c r="P10" s="5385"/>
      <c r="Q10" s="5385"/>
      <c r="R10" s="5451"/>
      <c r="S10" s="5449"/>
      <c r="T10" s="5469"/>
      <c r="U10" s="237"/>
      <c r="V10" s="1319"/>
      <c r="W10" s="1422"/>
      <c r="X10" s="1319"/>
      <c r="Y10" s="1422"/>
      <c r="Z10" s="1319"/>
      <c r="AA10" s="1319"/>
      <c r="AB10" s="1319"/>
      <c r="AC10" s="1319"/>
      <c r="AD10" s="5304"/>
      <c r="AE10" s="5444"/>
      <c r="AF10" s="5335"/>
      <c r="AG10" s="5467"/>
      <c r="AH10" s="5245"/>
      <c r="AI10" s="5444"/>
      <c r="AJ10" s="5335"/>
      <c r="AK10" s="5458"/>
      <c r="AL10" s="5245"/>
      <c r="AM10" s="253"/>
      <c r="AN10" s="1426"/>
      <c r="AO10" s="1426" t="s">
        <v>535</v>
      </c>
      <c r="AP10" s="352"/>
      <c r="AQ10" s="352"/>
      <c r="AR10" s="352"/>
      <c r="AS10" s="1319"/>
      <c r="AT10" s="1319"/>
      <c r="AU10" s="1422"/>
      <c r="AV10" s="1319"/>
      <c r="AW10" s="1422"/>
      <c r="AX10" s="1319"/>
      <c r="AY10" s="1319"/>
      <c r="AZ10" s="1319"/>
      <c r="BA10" s="1319"/>
      <c r="BB10" s="1323"/>
      <c r="BC10" s="5406"/>
      <c r="BE10" s="436"/>
      <c r="BF10" s="436"/>
      <c r="BG10" s="436"/>
      <c r="BH10" s="436"/>
      <c r="BI10" s="1081">
        <v>0</v>
      </c>
    </row>
    <row r="11" spans="1:61" ht="11.25" hidden="1" customHeight="1">
      <c r="A11" s="1289"/>
      <c r="B11" s="1289"/>
      <c r="C11" s="1289"/>
      <c r="D11" s="1289"/>
      <c r="E11" s="5382"/>
      <c r="F11" s="5382"/>
      <c r="G11" s="5382"/>
      <c r="H11" s="5382"/>
      <c r="I11" s="5384"/>
      <c r="J11" s="5384"/>
      <c r="K11" s="5383"/>
      <c r="L11" s="1290"/>
      <c r="P11" s="5385"/>
      <c r="Q11" s="5385"/>
      <c r="R11" s="5451"/>
      <c r="S11" s="5449"/>
      <c r="T11" s="5469"/>
      <c r="U11" s="237"/>
      <c r="V11" s="1319"/>
      <c r="W11" s="1422"/>
      <c r="X11" s="1319"/>
      <c r="Y11" s="1422"/>
      <c r="Z11" s="1319"/>
      <c r="AA11" s="1319"/>
      <c r="AB11" s="1319"/>
      <c r="AC11" s="1319"/>
      <c r="AD11" s="5304"/>
      <c r="AE11" s="5444"/>
      <c r="AF11" s="5335"/>
      <c r="AG11" s="5467"/>
      <c r="AH11" s="5245"/>
      <c r="AI11" s="231"/>
      <c r="AJ11" s="351"/>
      <c r="AK11" s="250" t="s">
        <v>536</v>
      </c>
      <c r="AL11" s="1319"/>
      <c r="AM11" s="1319"/>
      <c r="AN11" s="1319"/>
      <c r="AO11" s="1319"/>
      <c r="AP11" s="1319"/>
      <c r="AQ11" s="1319"/>
      <c r="AR11" s="1319"/>
      <c r="AS11" s="1319"/>
      <c r="AT11" s="1319"/>
      <c r="AU11" s="1422"/>
      <c r="AV11" s="1319"/>
      <c r="AW11" s="1422"/>
      <c r="AX11" s="1319"/>
      <c r="AY11" s="1319"/>
      <c r="AZ11" s="1319"/>
      <c r="BA11" s="1319"/>
      <c r="BB11" s="1323"/>
      <c r="BC11" s="5406"/>
      <c r="BE11" s="436"/>
      <c r="BF11" s="436"/>
      <c r="BG11" s="436"/>
      <c r="BH11" s="436"/>
      <c r="BI11" s="1081">
        <v>0</v>
      </c>
    </row>
    <row r="12" spans="1:61" ht="11.25" hidden="1" customHeight="1">
      <c r="A12" s="1289"/>
      <c r="B12" s="1289"/>
      <c r="C12" s="1289"/>
      <c r="D12" s="1289"/>
      <c r="E12" s="5382"/>
      <c r="F12" s="5382"/>
      <c r="G12" s="5382"/>
      <c r="H12" s="5382"/>
      <c r="I12" s="5384"/>
      <c r="J12" s="5384"/>
      <c r="K12" s="5383"/>
      <c r="L12" s="1290"/>
      <c r="P12" s="5385"/>
      <c r="Q12" s="5385"/>
      <c r="R12" s="5451"/>
      <c r="S12" s="5450"/>
      <c r="T12" s="5470"/>
      <c r="U12" s="237"/>
      <c r="V12" s="1319"/>
      <c r="W12" s="1320" t="str">
        <f>Z8&amp;"-"&amp;AB8</f>
        <v>-</v>
      </c>
      <c r="X12" s="1319"/>
      <c r="Y12" s="1320" t="str">
        <f>AB8&amp;"-"&amp;AD8</f>
        <v>-да</v>
      </c>
      <c r="Z12" s="1319"/>
      <c r="AA12" s="1319"/>
      <c r="AB12" s="1319"/>
      <c r="AC12" s="1319"/>
      <c r="AD12" s="5250"/>
      <c r="AE12" s="249"/>
      <c r="AF12" s="251"/>
      <c r="AG12" s="352" t="s">
        <v>537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5406"/>
      <c r="BE12" s="436"/>
      <c r="BF12" s="436" t="str">
        <f t="shared" ref="BF12:BF18" si="1">IF(T12="","",T12)</f>
        <v/>
      </c>
      <c r="BG12" s="436"/>
      <c r="BH12" s="436"/>
      <c r="BI12" s="1081">
        <v>0</v>
      </c>
    </row>
    <row r="13" spans="1:61" ht="11.25" hidden="1" customHeight="1">
      <c r="A13" s="1289"/>
      <c r="B13" s="1289"/>
      <c r="C13" s="1289"/>
      <c r="D13" s="1289"/>
      <c r="E13" s="5382"/>
      <c r="F13" s="5382"/>
      <c r="G13" s="5382"/>
      <c r="H13" s="5382"/>
      <c r="I13" s="5384"/>
      <c r="J13" s="5383"/>
      <c r="K13" s="1289"/>
      <c r="L13" s="1290"/>
      <c r="P13" s="5385"/>
      <c r="Q13" s="5385"/>
      <c r="R13" s="292"/>
      <c r="S13" s="1204"/>
      <c r="T13" s="224" t="s">
        <v>500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5407"/>
      <c r="BE13" s="436"/>
      <c r="BF13" s="436" t="str">
        <f t="shared" si="1"/>
        <v>Добавить строку</v>
      </c>
      <c r="BG13" s="436"/>
      <c r="BH13" s="436"/>
      <c r="BI13" s="1081">
        <v>0</v>
      </c>
    </row>
    <row r="14" spans="1:61" s="1568" customFormat="1" ht="14.25" hidden="1" customHeight="1">
      <c r="A14" s="1269"/>
      <c r="B14" s="1269"/>
      <c r="C14" s="1269"/>
      <c r="D14" s="1269"/>
      <c r="E14" s="5382"/>
      <c r="F14" s="5382"/>
      <c r="G14" s="5382"/>
      <c r="H14" s="5382"/>
      <c r="I14" s="5383"/>
      <c r="J14" s="1269"/>
      <c r="K14" s="1269"/>
      <c r="L14" s="1272"/>
      <c r="M14" s="446"/>
      <c r="N14" s="446"/>
      <c r="O14" s="446"/>
      <c r="P14" s="5385"/>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5382"/>
      <c r="F15" s="5382"/>
      <c r="G15" s="5382"/>
      <c r="H15" s="538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5382"/>
      <c r="F16" s="5382"/>
      <c r="G16" s="538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5382"/>
      <c r="F17" s="5381"/>
      <c r="G17" s="1240"/>
      <c r="H17" s="1240"/>
      <c r="I17" s="1240"/>
      <c r="J17" s="1240"/>
      <c r="K17" s="1240"/>
      <c r="L17" s="1420"/>
      <c r="M17" s="1247"/>
      <c r="N17" s="1247"/>
      <c r="P17" s="1242"/>
      <c r="Q17" s="1243"/>
      <c r="R17" s="1242"/>
      <c r="S17" s="1248"/>
      <c r="T17" s="1251" t="s">
        <v>164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5381"/>
      <c r="F18" s="1269"/>
      <c r="G18" s="1269"/>
      <c r="H18" s="1269"/>
      <c r="I18" s="1269"/>
      <c r="J18" s="1269"/>
      <c r="K18" s="1269"/>
      <c r="L18" s="1272"/>
      <c r="M18" s="1247"/>
      <c r="N18" s="1247"/>
      <c r="O18" s="454"/>
      <c r="P18" s="316"/>
      <c r="Q18" s="1270"/>
      <c r="R18" s="316"/>
      <c r="S18" s="1248"/>
      <c r="T18" s="1251" t="s">
        <v>165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65</v>
      </c>
      <c r="AZ20" s="1661"/>
      <c r="BA20" s="1411" t="s">
        <v>65</v>
      </c>
      <c r="BI20" s="1081">
        <v>0</v>
      </c>
    </row>
    <row r="21" spans="1:61" ht="14.25" hidden="1" customHeight="1">
      <c r="BD21" s="432"/>
      <c r="BE21" s="432"/>
      <c r="BF21" s="432"/>
      <c r="BG21" s="432"/>
      <c r="BH21" s="432"/>
      <c r="BI21" s="1081">
        <v>0</v>
      </c>
    </row>
    <row r="22" spans="1:61" ht="14.25" hidden="1" customHeight="1">
      <c r="O22" s="1293" t="s">
        <v>441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442</v>
      </c>
      <c r="P24" s="1434"/>
      <c r="Q24" s="1436"/>
      <c r="R24" s="1436"/>
      <c r="AA24" s="1433" t="s">
        <v>444</v>
      </c>
      <c r="AC24" s="1433" t="s">
        <v>445</v>
      </c>
      <c r="AD24" s="1433" t="s">
        <v>501</v>
      </c>
      <c r="AH24" s="1433" t="s">
        <v>501</v>
      </c>
      <c r="AK24" s="1433" t="s">
        <v>538</v>
      </c>
      <c r="AL24" s="1433" t="s">
        <v>501</v>
      </c>
      <c r="AP24" s="1433" t="s">
        <v>501</v>
      </c>
      <c r="AY24" s="1433" t="s">
        <v>444</v>
      </c>
      <c r="BA24" s="1433" t="s">
        <v>445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5359"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5359"/>
      <c r="U28" s="5359"/>
      <c r="V28" s="5359"/>
      <c r="W28" s="5359"/>
      <c r="X28" s="5359"/>
      <c r="Y28" s="5359"/>
      <c r="Z28" s="5359"/>
      <c r="AA28" s="5359"/>
      <c r="AB28" s="5359"/>
      <c r="AC28" s="5359"/>
      <c r="AD28" s="5359"/>
      <c r="AE28" s="5359"/>
      <c r="AF28" s="5359"/>
      <c r="AG28" s="5359"/>
      <c r="AH28" s="5359"/>
      <c r="AI28" s="5359"/>
      <c r="AJ28" s="5359"/>
      <c r="AK28" s="5359"/>
      <c r="AL28" s="5359"/>
      <c r="AM28" s="5359"/>
      <c r="AN28" s="5359"/>
      <c r="AO28" s="5359"/>
      <c r="AP28" s="5359"/>
      <c r="AQ28" s="5359"/>
      <c r="AR28" s="5359"/>
      <c r="AS28" s="5359"/>
      <c r="AT28" s="5359"/>
      <c r="AU28" s="5359"/>
      <c r="AV28" s="5359"/>
      <c r="AW28" s="5359"/>
      <c r="AX28" s="5359"/>
      <c r="AY28" s="5359"/>
      <c r="AZ28" s="5359"/>
      <c r="BA28" s="1169"/>
      <c r="BI28" s="1081">
        <v>14</v>
      </c>
    </row>
    <row r="29" spans="1:61" ht="14.65" customHeight="1">
      <c r="Q29" s="228"/>
      <c r="R29" s="312"/>
      <c r="S29" s="5331" t="str">
        <f>IF(org=0,"Не определено",org)</f>
        <v>ПАО "ТГК-1" филиал "Невский"</v>
      </c>
      <c r="T29" s="5331"/>
      <c r="U29" s="5331"/>
      <c r="V29" s="5331"/>
      <c r="W29" s="5331"/>
      <c r="X29" s="5331"/>
      <c r="Y29" s="5331"/>
      <c r="Z29" s="5331"/>
      <c r="AA29" s="5331"/>
      <c r="AB29" s="5331"/>
      <c r="AC29" s="5331"/>
      <c r="AD29" s="5331"/>
      <c r="AE29" s="5331"/>
      <c r="AF29" s="5331"/>
      <c r="AG29" s="5331"/>
      <c r="AH29" s="5331"/>
      <c r="AI29" s="5331"/>
      <c r="AJ29" s="5331"/>
      <c r="AK29" s="5331"/>
      <c r="AL29" s="5331"/>
      <c r="AM29" s="5331"/>
      <c r="AN29" s="5331"/>
      <c r="AO29" s="5331"/>
      <c r="AP29" s="5331"/>
      <c r="AQ29" s="5331"/>
      <c r="AR29" s="5331"/>
      <c r="AS29" s="5331"/>
      <c r="AT29" s="5331"/>
      <c r="AU29" s="5331"/>
      <c r="AV29" s="5331"/>
      <c r="AW29" s="5331"/>
      <c r="AX29" s="5331"/>
      <c r="AY29" s="5331"/>
      <c r="AZ29" s="5331"/>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5370" t="s">
        <v>42</v>
      </c>
      <c r="T31" s="5370"/>
      <c r="U31" s="1298"/>
      <c r="V31" s="5372" t="str">
        <f>IF(TITLE_NAME_OR_PR_CHANGE="",IF(TITLE_NAME_OR_PR="","",TITLE_NAME_OR_PR),TITLE_NAME_OR_PR_CHANGE)</f>
        <v>Комитет по тарифам Санкт-Петербурга</v>
      </c>
      <c r="W31" s="5372"/>
      <c r="X31" s="5372"/>
      <c r="Y31" s="5372"/>
      <c r="Z31" s="5372"/>
      <c r="AA31" s="5372"/>
      <c r="AB31" s="5372"/>
      <c r="AC31" s="263"/>
      <c r="AD31" s="5372" t="str">
        <f>IF(TITLE_NAME_OR_PR_CHANGE="",IF(TITLE_NAME_OR_PR="","",TITLE_NAME_OR_PR),TITLE_NAME_OR_PR_CHANGE)</f>
        <v>Комитет по тарифам Санкт-Петербурга</v>
      </c>
      <c r="AE31" s="5372"/>
      <c r="AF31" s="5372"/>
      <c r="AG31" s="5372"/>
      <c r="AH31" s="5372"/>
      <c r="AI31" s="5372"/>
      <c r="AJ31" s="5372"/>
      <c r="AK31" s="5372"/>
      <c r="AL31" s="5372"/>
      <c r="AM31" s="5372"/>
      <c r="AN31" s="5372"/>
      <c r="AO31" s="5372"/>
      <c r="AP31" s="5372"/>
      <c r="AQ31" s="5372"/>
      <c r="AR31" s="5372"/>
      <c r="AS31" s="5372"/>
      <c r="AT31" s="5372"/>
      <c r="AU31" s="5372"/>
      <c r="AV31" s="5372"/>
      <c r="AW31" s="5372"/>
      <c r="AX31" s="5372"/>
      <c r="AY31" s="5372"/>
      <c r="AZ31" s="5372"/>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5370" t="s">
        <v>447</v>
      </c>
      <c r="T32" s="5370"/>
      <c r="U32" s="1298"/>
      <c r="V32" s="5371">
        <f>IF(TITLE_DATE_PR_CHANGE="",IF(TITLE_DATE_PR="","",TITLE_DATE_PR),TITLE_DATE_PR_CHANGE)</f>
        <v>45470</v>
      </c>
      <c r="W32" s="5371"/>
      <c r="X32" s="5371"/>
      <c r="Y32" s="5371"/>
      <c r="Z32" s="5371"/>
      <c r="AA32" s="5371"/>
      <c r="AB32" s="5371"/>
      <c r="AC32" s="263"/>
      <c r="AD32" s="5371">
        <f>IF(TITLE_DATE_PR_CHANGE="",IF(TITLE_DATE_PR="","",TITLE_DATE_PR),TITLE_DATE_PR_CHANGE)</f>
        <v>45470</v>
      </c>
      <c r="AE32" s="5371"/>
      <c r="AF32" s="5371"/>
      <c r="AG32" s="5371"/>
      <c r="AH32" s="5371"/>
      <c r="AI32" s="5371"/>
      <c r="AJ32" s="5371"/>
      <c r="AK32" s="5371"/>
      <c r="AL32" s="5371"/>
      <c r="AM32" s="5371"/>
      <c r="AN32" s="5371"/>
      <c r="AO32" s="5371"/>
      <c r="AP32" s="5371"/>
      <c r="AQ32" s="5371"/>
      <c r="AR32" s="5371"/>
      <c r="AS32" s="5371"/>
      <c r="AT32" s="5371"/>
      <c r="AU32" s="5371"/>
      <c r="AV32" s="5371"/>
      <c r="AW32" s="5371"/>
      <c r="AX32" s="5371"/>
      <c r="AY32" s="5371"/>
      <c r="AZ32" s="5371"/>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5370" t="s">
        <v>448</v>
      </c>
      <c r="T33" s="5370"/>
      <c r="U33" s="1298"/>
      <c r="V33" s="5372" t="str">
        <f>IF(TITLE_NUMBER_PR_CHANGE="",IF(TITLE_NUMBER_PR="","",TITLE_NUMBER_PR),TITLE_NUMBER_PR_CHANGE)</f>
        <v>94-р</v>
      </c>
      <c r="W33" s="5372"/>
      <c r="X33" s="5372"/>
      <c r="Y33" s="5372"/>
      <c r="Z33" s="5372"/>
      <c r="AA33" s="5372"/>
      <c r="AB33" s="5372"/>
      <c r="AC33" s="263"/>
      <c r="AD33" s="5372" t="str">
        <f>IF(TITLE_NUMBER_PR_CHANGE="",IF(TITLE_NUMBER_PR="","",TITLE_NUMBER_PR),TITLE_NUMBER_PR_CHANGE)</f>
        <v>94-р</v>
      </c>
      <c r="AE33" s="5372"/>
      <c r="AF33" s="5372"/>
      <c r="AG33" s="5372"/>
      <c r="AH33" s="5372"/>
      <c r="AI33" s="5372"/>
      <c r="AJ33" s="5372"/>
      <c r="AK33" s="5372"/>
      <c r="AL33" s="5372"/>
      <c r="AM33" s="5372"/>
      <c r="AN33" s="5372"/>
      <c r="AO33" s="5372"/>
      <c r="AP33" s="5372"/>
      <c r="AQ33" s="5372"/>
      <c r="AR33" s="5372"/>
      <c r="AS33" s="5372"/>
      <c r="AT33" s="5372"/>
      <c r="AU33" s="5372"/>
      <c r="AV33" s="5372"/>
      <c r="AW33" s="5372"/>
      <c r="AX33" s="5372"/>
      <c r="AY33" s="5372"/>
      <c r="AZ33" s="5372"/>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5370" t="s">
        <v>44</v>
      </c>
      <c r="T34" s="5370"/>
      <c r="U34" s="1298"/>
      <c r="V34" s="5372" t="str">
        <f>IF(TITLE_IST_PUB_CHANGE="",IF(TITLE_IST_PUB="","",TITLE_IST_PUB),TITLE_IST_PUB_CHANGE)</f>
        <v>http://publication.pravo.gov.ru/document/7801202407010029</v>
      </c>
      <c r="W34" s="5372"/>
      <c r="X34" s="5372"/>
      <c r="Y34" s="5372"/>
      <c r="Z34" s="5372"/>
      <c r="AA34" s="5372"/>
      <c r="AB34" s="5372"/>
      <c r="AC34" s="263"/>
      <c r="AD34" s="5372" t="str">
        <f>IF(TITLE_IST_PUB_CHANGE="",IF(TITLE_IST_PUB="","",TITLE_IST_PUB),TITLE_IST_PUB_CHANGE)</f>
        <v>http://publication.pravo.gov.ru/document/7801202407010029</v>
      </c>
      <c r="AE34" s="5372"/>
      <c r="AF34" s="5372"/>
      <c r="AG34" s="5372"/>
      <c r="AH34" s="5372"/>
      <c r="AI34" s="5372"/>
      <c r="AJ34" s="5372"/>
      <c r="AK34" s="5372"/>
      <c r="AL34" s="5372"/>
      <c r="AM34" s="5372"/>
      <c r="AN34" s="5372"/>
      <c r="AO34" s="5372"/>
      <c r="AP34" s="5372"/>
      <c r="AQ34" s="5372"/>
      <c r="AR34" s="5372"/>
      <c r="AS34" s="5372"/>
      <c r="AT34" s="5372"/>
      <c r="AU34" s="5372"/>
      <c r="AV34" s="5372"/>
      <c r="AW34" s="5372"/>
      <c r="AX34" s="5372"/>
      <c r="AY34" s="5372"/>
      <c r="AZ34" s="5372"/>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5370" t="s">
        <v>447</v>
      </c>
      <c r="T36" s="5370"/>
      <c r="U36" s="1298"/>
      <c r="V36" s="5371">
        <f>IF(TITLE_DATE_PR_CHANGE="",IF(TITLE_DATE_PR="","",TITLE_DATE_PR),TITLE_DATE_PR_CHANGE)</f>
        <v>45470</v>
      </c>
      <c r="W36" s="5371"/>
      <c r="X36" s="5371"/>
      <c r="Y36" s="5371"/>
      <c r="Z36" s="5371"/>
      <c r="AA36" s="5371"/>
      <c r="AB36" s="5371"/>
      <c r="AC36" s="263"/>
      <c r="AD36" s="5371">
        <f>IF(TITLE_DATE_PR_CHANGE="",IF(TITLE_DATE_PR="","",TITLE_DATE_PR),TITLE_DATE_PR_CHANGE)</f>
        <v>45470</v>
      </c>
      <c r="AE36" s="5371"/>
      <c r="AF36" s="5371"/>
      <c r="AG36" s="5371"/>
      <c r="AH36" s="5371"/>
      <c r="AI36" s="5371"/>
      <c r="AJ36" s="5371"/>
      <c r="AK36" s="5371"/>
      <c r="AL36" s="5371"/>
      <c r="AM36" s="5371"/>
      <c r="AN36" s="5371"/>
      <c r="AO36" s="5371"/>
      <c r="AP36" s="5371"/>
      <c r="AQ36" s="5371"/>
      <c r="AR36" s="5371"/>
      <c r="AS36" s="5371"/>
      <c r="AT36" s="5371"/>
      <c r="AU36" s="5371"/>
      <c r="AV36" s="5371"/>
      <c r="AW36" s="5371"/>
      <c r="AX36" s="5371"/>
      <c r="AY36" s="5371"/>
      <c r="AZ36" s="5371"/>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5370" t="s">
        <v>448</v>
      </c>
      <c r="T37" s="5370"/>
      <c r="U37" s="1298"/>
      <c r="V37" s="5372" t="str">
        <f>IF(TITLE_NUMBER_PR_CHANGE="",IF(TITLE_NUMBER_PR="","",TITLE_NUMBER_PR),TITLE_NUMBER_PR_CHANGE)</f>
        <v>94-р</v>
      </c>
      <c r="W37" s="5372"/>
      <c r="X37" s="5372"/>
      <c r="Y37" s="5372"/>
      <c r="Z37" s="5372"/>
      <c r="AA37" s="5372"/>
      <c r="AB37" s="5372"/>
      <c r="AC37" s="263"/>
      <c r="AD37" s="5372" t="str">
        <f>IF(TITLE_NUMBER_PR_CHANGE="",IF(TITLE_NUMBER_PR="","",TITLE_NUMBER_PR),TITLE_NUMBER_PR_CHANGE)</f>
        <v>94-р</v>
      </c>
      <c r="AE37" s="5372"/>
      <c r="AF37" s="5372"/>
      <c r="AG37" s="5372"/>
      <c r="AH37" s="5372"/>
      <c r="AI37" s="5372"/>
      <c r="AJ37" s="5372"/>
      <c r="AK37" s="5372"/>
      <c r="AL37" s="5372"/>
      <c r="AM37" s="5372"/>
      <c r="AN37" s="5372"/>
      <c r="AO37" s="5372"/>
      <c r="AP37" s="5372"/>
      <c r="AQ37" s="5372"/>
      <c r="AR37" s="5372"/>
      <c r="AS37" s="5372"/>
      <c r="AT37" s="5372"/>
      <c r="AU37" s="5372"/>
      <c r="AV37" s="5372"/>
      <c r="AW37" s="5372"/>
      <c r="AX37" s="5372"/>
      <c r="AY37" s="5372"/>
      <c r="AZ37" s="5372"/>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451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451</v>
      </c>
      <c r="BD38" s="304"/>
      <c r="BE38" s="304"/>
      <c r="BF38" s="304"/>
      <c r="BG38" s="304"/>
      <c r="BH38" s="304"/>
      <c r="BI38" s="354">
        <v>0</v>
      </c>
    </row>
    <row r="39" spans="1:61" ht="14.65" customHeight="1">
      <c r="Q39" s="228"/>
      <c r="R39" s="312"/>
      <c r="S39" s="1201"/>
      <c r="T39" s="299"/>
      <c r="U39" s="1170"/>
      <c r="V39" s="5393"/>
      <c r="W39" s="5393"/>
      <c r="X39" s="5393"/>
      <c r="Y39" s="5393"/>
      <c r="Z39" s="5393"/>
      <c r="AA39" s="5393"/>
      <c r="AB39" s="5393"/>
      <c r="AC39" s="5393"/>
      <c r="AD39" s="5393"/>
      <c r="AE39" s="5393"/>
      <c r="AF39" s="5393"/>
      <c r="AG39" s="5393"/>
      <c r="AH39" s="5393"/>
      <c r="AI39" s="5393"/>
      <c r="AJ39" s="5393"/>
      <c r="AK39" s="5393"/>
      <c r="AL39" s="5393"/>
      <c r="AM39" s="5393"/>
      <c r="AN39" s="5393"/>
      <c r="AO39" s="5393"/>
      <c r="AP39" s="5393"/>
      <c r="AQ39" s="5393"/>
      <c r="AR39" s="5393"/>
      <c r="AS39" s="5393"/>
      <c r="AT39" s="5393"/>
      <c r="AU39" s="5393"/>
      <c r="AV39" s="5393"/>
      <c r="AW39" s="5393"/>
      <c r="AX39" s="5393"/>
      <c r="AY39" s="5393"/>
      <c r="AZ39" s="5393"/>
      <c r="BA39" s="5393"/>
      <c r="BI39" s="1081">
        <v>14</v>
      </c>
    </row>
    <row r="40" spans="1:61" ht="14.65" customHeight="1">
      <c r="Q40" s="228"/>
      <c r="R40" s="312"/>
      <c r="S40" s="5235" t="s">
        <v>327</v>
      </c>
      <c r="T40" s="5235"/>
      <c r="U40" s="5235"/>
      <c r="V40" s="5235"/>
      <c r="W40" s="5235"/>
      <c r="X40" s="5235"/>
      <c r="Y40" s="5235"/>
      <c r="Z40" s="5235"/>
      <c r="AA40" s="5235"/>
      <c r="AB40" s="5235"/>
      <c r="AC40" s="5235"/>
      <c r="AD40" s="5235"/>
      <c r="AE40" s="5235"/>
      <c r="AF40" s="5235"/>
      <c r="AG40" s="5235"/>
      <c r="AH40" s="5235"/>
      <c r="AI40" s="5235"/>
      <c r="AJ40" s="5235"/>
      <c r="AK40" s="5235"/>
      <c r="AL40" s="5235"/>
      <c r="AM40" s="5235"/>
      <c r="AN40" s="5235"/>
      <c r="AO40" s="5235"/>
      <c r="AP40" s="5235"/>
      <c r="AQ40" s="5235"/>
      <c r="AR40" s="5235"/>
      <c r="AS40" s="5235"/>
      <c r="AT40" s="5235"/>
      <c r="AU40" s="5235"/>
      <c r="AV40" s="5235"/>
      <c r="AW40" s="5235"/>
      <c r="AX40" s="5235"/>
      <c r="AY40" s="5235"/>
      <c r="AZ40" s="5235"/>
      <c r="BA40" s="5235"/>
      <c r="BB40" s="5235"/>
      <c r="BC40" s="5235" t="s">
        <v>328</v>
      </c>
      <c r="BI40" s="1081">
        <v>14</v>
      </c>
    </row>
    <row r="41" spans="1:61" ht="14.65" customHeight="1">
      <c r="Q41" s="228"/>
      <c r="R41" s="312"/>
      <c r="S41" s="5395" t="s">
        <v>90</v>
      </c>
      <c r="T41" s="5339" t="s">
        <v>539</v>
      </c>
      <c r="U41" s="238"/>
      <c r="V41" s="5396" t="s">
        <v>453</v>
      </c>
      <c r="W41" s="5397"/>
      <c r="X41" s="5397"/>
      <c r="Y41" s="5397"/>
      <c r="Z41" s="5397"/>
      <c r="AA41" s="5397"/>
      <c r="AB41" s="5398"/>
      <c r="AC41" s="5399" t="s">
        <v>454</v>
      </c>
      <c r="AD41" s="5437" t="s">
        <v>540</v>
      </c>
      <c r="AE41" s="5419"/>
      <c r="AF41" s="5419"/>
      <c r="AG41" s="5438"/>
      <c r="AH41" s="5437" t="s">
        <v>541</v>
      </c>
      <c r="AI41" s="5419"/>
      <c r="AJ41" s="5419"/>
      <c r="AK41" s="5438"/>
      <c r="AL41" s="5437" t="s">
        <v>542</v>
      </c>
      <c r="AM41" s="5419"/>
      <c r="AN41" s="5419"/>
      <c r="AO41" s="5438"/>
      <c r="AP41" s="5437" t="s">
        <v>543</v>
      </c>
      <c r="AQ41" s="5419"/>
      <c r="AR41" s="5419"/>
      <c r="AS41" s="5438"/>
      <c r="AT41" s="5396" t="s">
        <v>453</v>
      </c>
      <c r="AU41" s="5397"/>
      <c r="AV41" s="5397"/>
      <c r="AW41" s="5397"/>
      <c r="AX41" s="5397"/>
      <c r="AY41" s="5397"/>
      <c r="AZ41" s="5398"/>
      <c r="BA41" s="5399" t="s">
        <v>454</v>
      </c>
      <c r="BB41" s="5402" t="s">
        <v>456</v>
      </c>
      <c r="BC41" s="5235"/>
      <c r="BI41" s="1081">
        <v>14</v>
      </c>
    </row>
    <row r="42" spans="1:61" ht="35.65" customHeight="1">
      <c r="Q42" s="228"/>
      <c r="R42" s="312"/>
      <c r="S42" s="5395"/>
      <c r="T42" s="5339"/>
      <c r="U42" s="960"/>
      <c r="V42" s="5312" t="s">
        <v>544</v>
      </c>
      <c r="W42" s="5313"/>
      <c r="X42" s="5312" t="s">
        <v>545</v>
      </c>
      <c r="Y42" s="5313"/>
      <c r="Z42" s="5312" t="s">
        <v>546</v>
      </c>
      <c r="AA42" s="5432"/>
      <c r="AB42" s="5313"/>
      <c r="AC42" s="5400"/>
      <c r="AD42" s="5439"/>
      <c r="AE42" s="5440"/>
      <c r="AF42" s="5440"/>
      <c r="AG42" s="5452"/>
      <c r="AH42" s="5439"/>
      <c r="AI42" s="5440"/>
      <c r="AJ42" s="5440"/>
      <c r="AK42" s="5452"/>
      <c r="AL42" s="5439"/>
      <c r="AM42" s="5440"/>
      <c r="AN42" s="5440"/>
      <c r="AO42" s="5452"/>
      <c r="AP42" s="5439"/>
      <c r="AQ42" s="5440"/>
      <c r="AR42" s="5440"/>
      <c r="AS42" s="5452"/>
      <c r="AT42" s="5312" t="s">
        <v>544</v>
      </c>
      <c r="AU42" s="5313"/>
      <c r="AV42" s="5312" t="s">
        <v>545</v>
      </c>
      <c r="AW42" s="5313"/>
      <c r="AX42" s="5312" t="s">
        <v>546</v>
      </c>
      <c r="AY42" s="5432"/>
      <c r="AZ42" s="5313"/>
      <c r="BA42" s="5400"/>
      <c r="BB42" s="5403"/>
      <c r="BC42" s="5235"/>
      <c r="BI42" s="1081">
        <v>34</v>
      </c>
    </row>
    <row r="43" spans="1:61" ht="14.65" customHeight="1">
      <c r="Q43" s="228"/>
      <c r="R43" s="312"/>
      <c r="S43" s="5395"/>
      <c r="T43" s="5339"/>
      <c r="U43" s="960"/>
      <c r="V43" s="5317"/>
      <c r="W43" s="5318"/>
      <c r="X43" s="5317"/>
      <c r="Y43" s="5318"/>
      <c r="Z43" s="5317"/>
      <c r="AA43" s="5433"/>
      <c r="AB43" s="5318"/>
      <c r="AC43" s="5400"/>
      <c r="AD43" s="5439"/>
      <c r="AE43" s="5440"/>
      <c r="AF43" s="5440"/>
      <c r="AG43" s="5452"/>
      <c r="AH43" s="5439"/>
      <c r="AI43" s="5440"/>
      <c r="AJ43" s="5440"/>
      <c r="AK43" s="5452"/>
      <c r="AL43" s="5439"/>
      <c r="AM43" s="5440"/>
      <c r="AN43" s="5440"/>
      <c r="AO43" s="5452"/>
      <c r="AP43" s="5439"/>
      <c r="AQ43" s="5440"/>
      <c r="AR43" s="5440"/>
      <c r="AS43" s="5452"/>
      <c r="AT43" s="5317"/>
      <c r="AU43" s="5318"/>
      <c r="AV43" s="5317"/>
      <c r="AW43" s="5318"/>
      <c r="AX43" s="5317"/>
      <c r="AY43" s="5433"/>
      <c r="AZ43" s="5318"/>
      <c r="BA43" s="5400"/>
      <c r="BB43" s="5403"/>
      <c r="BC43" s="5235"/>
      <c r="BI43" s="1081">
        <v>14</v>
      </c>
    </row>
    <row r="44" spans="1:61" ht="14.65" customHeight="1">
      <c r="A44" s="1296"/>
      <c r="B44" s="1296" t="s">
        <v>137</v>
      </c>
      <c r="C44" s="1296" t="s">
        <v>138</v>
      </c>
      <c r="D44" s="1296" t="s">
        <v>139</v>
      </c>
      <c r="E44" s="1290" t="s">
        <v>461</v>
      </c>
      <c r="F44" s="1290" t="s">
        <v>462</v>
      </c>
      <c r="G44" s="1290" t="s">
        <v>463</v>
      </c>
      <c r="H44" s="1290" t="s">
        <v>464</v>
      </c>
      <c r="I44" s="1290" t="s">
        <v>465</v>
      </c>
      <c r="J44" s="1290" t="s">
        <v>466</v>
      </c>
      <c r="K44" s="1290" t="s">
        <v>467</v>
      </c>
      <c r="L44" s="1290" t="s">
        <v>442</v>
      </c>
      <c r="Q44" s="228"/>
      <c r="R44" s="312"/>
      <c r="S44" s="5395"/>
      <c r="T44" s="5339"/>
      <c r="U44" s="239"/>
      <c r="V44" s="1405" t="s">
        <v>510</v>
      </c>
      <c r="W44" s="1405" t="s">
        <v>511</v>
      </c>
      <c r="X44" s="1405" t="s">
        <v>510</v>
      </c>
      <c r="Y44" s="1405" t="s">
        <v>511</v>
      </c>
      <c r="Z44" s="1415" t="s">
        <v>470</v>
      </c>
      <c r="AA44" s="5344" t="s">
        <v>471</v>
      </c>
      <c r="AB44" s="5358"/>
      <c r="AC44" s="5401"/>
      <c r="AD44" s="5441"/>
      <c r="AE44" s="5442"/>
      <c r="AF44" s="5442"/>
      <c r="AG44" s="5443"/>
      <c r="AH44" s="5441"/>
      <c r="AI44" s="5442"/>
      <c r="AJ44" s="5442"/>
      <c r="AK44" s="5443"/>
      <c r="AL44" s="5441"/>
      <c r="AM44" s="5442"/>
      <c r="AN44" s="5442"/>
      <c r="AO44" s="5443"/>
      <c r="AP44" s="5441"/>
      <c r="AQ44" s="5442"/>
      <c r="AR44" s="5442"/>
      <c r="AS44" s="5443"/>
      <c r="AT44" s="1405" t="s">
        <v>510</v>
      </c>
      <c r="AU44" s="1405" t="s">
        <v>511</v>
      </c>
      <c r="AV44" s="1405" t="s">
        <v>510</v>
      </c>
      <c r="AW44" s="1405" t="s">
        <v>511</v>
      </c>
      <c r="AX44" s="1415" t="s">
        <v>470</v>
      </c>
      <c r="AY44" s="5344" t="s">
        <v>471</v>
      </c>
      <c r="AZ44" s="5358"/>
      <c r="BA44" s="5401"/>
      <c r="BB44" s="5404"/>
      <c r="BC44" s="5235"/>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5392">
        <f t="shared" ca="1" si="2"/>
        <v>8</v>
      </c>
      <c r="AB45" s="539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5392">
        <f ca="1">OFFSET(AY45,0,-1)+1</f>
        <v>3</v>
      </c>
      <c r="AZ45" s="5392"/>
      <c r="BA45" s="1408">
        <f ca="1">OFFSET(BA45,0,-2)+1</f>
        <v>4</v>
      </c>
      <c r="BB45" s="1171">
        <f ca="1">OFFSET(BB45,0,-1)</f>
        <v>4</v>
      </c>
      <c r="BC45" s="1408">
        <f ca="1">OFFSET(BC45,0,-1)+1</f>
        <v>5</v>
      </c>
      <c r="BD45" s="447"/>
      <c r="BE45" s="447"/>
      <c r="BF45" s="447"/>
      <c r="BG45" s="447"/>
      <c r="BH45" s="447"/>
      <c r="BI45" s="432">
        <v>0</v>
      </c>
    </row>
    <row r="46" spans="1:61" ht="21.95" customHeight="1">
      <c r="A46" s="1289" t="s">
        <v>288</v>
      </c>
      <c r="B46" s="1289"/>
      <c r="C46" s="1289"/>
      <c r="D46" s="1289"/>
      <c r="E46" s="5381">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5374"/>
      <c r="W46" s="5374"/>
      <c r="X46" s="5374"/>
      <c r="Y46" s="5374"/>
      <c r="Z46" s="5374"/>
      <c r="AA46" s="5374"/>
      <c r="AB46" s="5374"/>
      <c r="AC46" s="5375"/>
      <c r="AD46" s="5373" t="str">
        <f>INDEX(PT_DIFFERENTIATION_NTAR,MATCH(A46,PT_DIFFERENTIATION_NTAR_ID,0))</f>
        <v/>
      </c>
      <c r="AE46" s="5374"/>
      <c r="AF46" s="5374"/>
      <c r="AG46" s="5374"/>
      <c r="AH46" s="5374"/>
      <c r="AI46" s="5374"/>
      <c r="AJ46" s="5374"/>
      <c r="AK46" s="5374"/>
      <c r="AL46" s="5374"/>
      <c r="AM46" s="5374"/>
      <c r="AN46" s="5374"/>
      <c r="AO46" s="5374"/>
      <c r="AP46" s="5374"/>
      <c r="AQ46" s="5374"/>
      <c r="AR46" s="5374"/>
      <c r="AS46" s="5374"/>
      <c r="AT46" s="5374"/>
      <c r="AU46" s="5374"/>
      <c r="AV46" s="5374"/>
      <c r="AW46" s="5374"/>
      <c r="AX46" s="5374"/>
      <c r="AY46" s="5374"/>
      <c r="AZ46" s="5374"/>
      <c r="BA46" s="5374"/>
      <c r="BB46" s="537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288</v>
      </c>
      <c r="B47" s="1289" t="s">
        <v>289</v>
      </c>
      <c r="C47" s="1289"/>
      <c r="D47" s="1289"/>
      <c r="E47" s="5382"/>
      <c r="F47" s="5381">
        <v>1</v>
      </c>
      <c r="G47" s="1289"/>
      <c r="H47" s="1289"/>
      <c r="I47" s="1289"/>
      <c r="J47" s="1289"/>
      <c r="K47" s="1289"/>
      <c r="L47" s="1290"/>
      <c r="M47" s="1291"/>
      <c r="N47" s="1291"/>
      <c r="O47" s="1291"/>
      <c r="P47" s="1336"/>
      <c r="Q47" s="1337"/>
      <c r="R47" s="289"/>
      <c r="S47" s="1419" t="str">
        <f>INDEX(PT_DIFFERENTIATION_NUM_TER,MATCH(B47,PT_DIFFERENTIATION_TER_ID,0))</f>
        <v>.</v>
      </c>
      <c r="T47" s="245" t="s">
        <v>424</v>
      </c>
      <c r="U47" s="237"/>
      <c r="V47" s="5374"/>
      <c r="W47" s="5374"/>
      <c r="X47" s="5374"/>
      <c r="Y47" s="5374"/>
      <c r="Z47" s="5374"/>
      <c r="AA47" s="5374"/>
      <c r="AB47" s="5374"/>
      <c r="AC47" s="5375"/>
      <c r="AD47" s="5373" t="str">
        <f>INDEX(PT_DIFFERENTIATION_TER,MATCH(B47,PT_DIFFERENTIATION_TER_ID,0))</f>
        <v/>
      </c>
      <c r="AE47" s="5374"/>
      <c r="AF47" s="5374"/>
      <c r="AG47" s="5374"/>
      <c r="AH47" s="5374"/>
      <c r="AI47" s="5374"/>
      <c r="AJ47" s="5374"/>
      <c r="AK47" s="5374"/>
      <c r="AL47" s="5374"/>
      <c r="AM47" s="5374"/>
      <c r="AN47" s="5374"/>
      <c r="AO47" s="5374"/>
      <c r="AP47" s="5374"/>
      <c r="AQ47" s="5374"/>
      <c r="AR47" s="5374"/>
      <c r="AS47" s="5374"/>
      <c r="AT47" s="5374"/>
      <c r="AU47" s="5374"/>
      <c r="AV47" s="5374"/>
      <c r="AW47" s="5374"/>
      <c r="AX47" s="5374"/>
      <c r="AY47" s="5374"/>
      <c r="AZ47" s="5374"/>
      <c r="BA47" s="5374"/>
      <c r="BB47" s="5375"/>
      <c r="BC47" s="1184" t="s">
        <v>425</v>
      </c>
      <c r="BE47" s="436"/>
      <c r="BF47" s="436" t="str">
        <f t="shared" si="3"/>
        <v>Территория действия тарифа</v>
      </c>
      <c r="BG47" s="436"/>
      <c r="BH47" s="436"/>
      <c r="BI47" s="1081">
        <v>21</v>
      </c>
    </row>
    <row r="48" spans="1:61" ht="35.65" customHeight="1">
      <c r="A48" s="1289" t="s">
        <v>288</v>
      </c>
      <c r="B48" s="1289" t="s">
        <v>289</v>
      </c>
      <c r="C48" s="1289" t="s">
        <v>290</v>
      </c>
      <c r="D48" s="1289"/>
      <c r="E48" s="5382"/>
      <c r="F48" s="5382"/>
      <c r="G48" s="5381">
        <v>1</v>
      </c>
      <c r="H48" s="1289"/>
      <c r="I48" s="1289"/>
      <c r="J48" s="1289"/>
      <c r="K48" s="1289"/>
      <c r="L48" s="1290"/>
      <c r="M48" s="1291"/>
      <c r="N48" s="1291"/>
      <c r="O48" s="1291"/>
      <c r="P48" s="1338"/>
      <c r="Q48" s="1337"/>
      <c r="R48" s="289"/>
      <c r="S48" s="1419" t="str">
        <f>INDEX(PT_DIFFERENTIATION_NUM_CS,MATCH(C48,PT_DIFFERENTIATION_CS_ID,0))</f>
        <v>..</v>
      </c>
      <c r="T48" s="246" t="s">
        <v>562</v>
      </c>
      <c r="U48" s="237"/>
      <c r="V48" s="5374"/>
      <c r="W48" s="5374"/>
      <c r="X48" s="5374"/>
      <c r="Y48" s="5374"/>
      <c r="Z48" s="5374"/>
      <c r="AA48" s="5374"/>
      <c r="AB48" s="5374"/>
      <c r="AC48" s="5375"/>
      <c r="AD48" s="5373" t="str">
        <f>INDEX(PT_DIFFERENTIATION_CS,MATCH(C48,PT_DIFFERENTIATION_CS_ID,0))</f>
        <v/>
      </c>
      <c r="AE48" s="5374"/>
      <c r="AF48" s="5374"/>
      <c r="AG48" s="5374"/>
      <c r="AH48" s="5374"/>
      <c r="AI48" s="5374"/>
      <c r="AJ48" s="5374"/>
      <c r="AK48" s="5374"/>
      <c r="AL48" s="5374"/>
      <c r="AM48" s="5374"/>
      <c r="AN48" s="5374"/>
      <c r="AO48" s="5374"/>
      <c r="AP48" s="5374"/>
      <c r="AQ48" s="5374"/>
      <c r="AR48" s="5374"/>
      <c r="AS48" s="5374"/>
      <c r="AT48" s="5374"/>
      <c r="AU48" s="5374"/>
      <c r="AV48" s="5374"/>
      <c r="AW48" s="5374"/>
      <c r="AX48" s="5374"/>
      <c r="AY48" s="5374"/>
      <c r="AZ48" s="5374"/>
      <c r="BA48" s="5374"/>
      <c r="BB48" s="5375"/>
      <c r="BC48" s="1184" t="s">
        <v>563</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288</v>
      </c>
      <c r="B49" s="1269" t="s">
        <v>289</v>
      </c>
      <c r="C49" s="1269" t="s">
        <v>290</v>
      </c>
      <c r="D49" s="1269" t="s">
        <v>576</v>
      </c>
      <c r="E49" s="5382"/>
      <c r="F49" s="5382"/>
      <c r="G49" s="5382"/>
      <c r="H49" s="5381">
        <v>1</v>
      </c>
      <c r="I49" s="1269"/>
      <c r="J49" s="1269"/>
      <c r="K49" s="1269"/>
      <c r="L49" s="1272"/>
      <c r="M49" s="1241"/>
      <c r="N49" s="1241"/>
      <c r="O49" s="1241"/>
      <c r="P49" s="1423"/>
      <c r="Q49" s="1424"/>
      <c r="R49" s="293"/>
      <c r="S49" s="971"/>
      <c r="T49" s="1425"/>
      <c r="U49" s="1310"/>
      <c r="V49" s="5421"/>
      <c r="W49" s="5421"/>
      <c r="X49" s="5421"/>
      <c r="Y49" s="5421"/>
      <c r="Z49" s="5421"/>
      <c r="AA49" s="5421"/>
      <c r="AB49" s="5421"/>
      <c r="AC49" s="5422"/>
      <c r="AD49" s="5420"/>
      <c r="AE49" s="5421"/>
      <c r="AF49" s="5421"/>
      <c r="AG49" s="5421"/>
      <c r="AH49" s="5421"/>
      <c r="AI49" s="5421"/>
      <c r="AJ49" s="5421"/>
      <c r="AK49" s="5421"/>
      <c r="AL49" s="5421"/>
      <c r="AM49" s="5421"/>
      <c r="AN49" s="5421"/>
      <c r="AO49" s="5421"/>
      <c r="AP49" s="5421"/>
      <c r="AQ49" s="5421"/>
      <c r="AR49" s="5421"/>
      <c r="AS49" s="5421"/>
      <c r="AT49" s="5421"/>
      <c r="AU49" s="5421"/>
      <c r="AV49" s="5421"/>
      <c r="AW49" s="5421"/>
      <c r="AX49" s="5421"/>
      <c r="AY49" s="5421"/>
      <c r="AZ49" s="5421"/>
      <c r="BA49" s="5421"/>
      <c r="BB49" s="5422"/>
      <c r="BC49" s="1311" t="s">
        <v>429</v>
      </c>
      <c r="BE49" s="436"/>
      <c r="BF49" s="436" t="str">
        <f t="shared" si="3"/>
        <v/>
      </c>
      <c r="BG49" s="436"/>
      <c r="BH49" s="436"/>
      <c r="BI49" s="447">
        <v>0</v>
      </c>
    </row>
    <row r="50" spans="1:61" s="1568" customFormat="1" ht="0" hidden="1" customHeight="1">
      <c r="A50" s="1269" t="s">
        <v>288</v>
      </c>
      <c r="B50" s="1269" t="s">
        <v>289</v>
      </c>
      <c r="C50" s="1269" t="s">
        <v>290</v>
      </c>
      <c r="D50" s="1269" t="s">
        <v>576</v>
      </c>
      <c r="E50" s="5382"/>
      <c r="F50" s="5382"/>
      <c r="G50" s="5382"/>
      <c r="H50" s="5382"/>
      <c r="I50" s="5383" t="str">
        <f>S49&amp;".1"</f>
        <v>.1</v>
      </c>
      <c r="J50" s="1269"/>
      <c r="K50" s="1269"/>
      <c r="L50" s="1272" t="s">
        <v>430</v>
      </c>
      <c r="M50" s="446"/>
      <c r="N50" s="446"/>
      <c r="O50" s="446"/>
      <c r="P50" s="5385">
        <v>1</v>
      </c>
      <c r="Q50" s="1407"/>
      <c r="R50" s="292"/>
      <c r="S50" s="971"/>
      <c r="T50" s="1309"/>
      <c r="U50" s="1310"/>
      <c r="V50" s="5421"/>
      <c r="W50" s="5421"/>
      <c r="X50" s="5421"/>
      <c r="Y50" s="5421"/>
      <c r="Z50" s="5421"/>
      <c r="AA50" s="5421"/>
      <c r="AB50" s="5421"/>
      <c r="AC50" s="5422"/>
      <c r="AD50" s="5420"/>
      <c r="AE50" s="5421"/>
      <c r="AF50" s="5421"/>
      <c r="AG50" s="5421"/>
      <c r="AH50" s="5421"/>
      <c r="AI50" s="5421"/>
      <c r="AJ50" s="5421"/>
      <c r="AK50" s="5421"/>
      <c r="AL50" s="5421"/>
      <c r="AM50" s="5421"/>
      <c r="AN50" s="5421"/>
      <c r="AO50" s="5421"/>
      <c r="AP50" s="5421"/>
      <c r="AQ50" s="5421"/>
      <c r="AR50" s="5421"/>
      <c r="AS50" s="5421"/>
      <c r="AT50" s="5421"/>
      <c r="AU50" s="5421"/>
      <c r="AV50" s="5421"/>
      <c r="AW50" s="5421"/>
      <c r="AX50" s="5421"/>
      <c r="AY50" s="5421"/>
      <c r="AZ50" s="5421"/>
      <c r="BA50" s="5421"/>
      <c r="BB50" s="5422"/>
      <c r="BC50" s="1311"/>
      <c r="BE50" s="436"/>
      <c r="BF50" s="436" t="str">
        <f t="shared" si="3"/>
        <v/>
      </c>
      <c r="BG50" s="436"/>
      <c r="BH50" s="436"/>
      <c r="BI50" s="447">
        <v>0</v>
      </c>
    </row>
    <row r="51" spans="1:61" s="1568" customFormat="1" ht="0" hidden="1" customHeight="1">
      <c r="A51" s="1269" t="s">
        <v>288</v>
      </c>
      <c r="B51" s="1269" t="s">
        <v>289</v>
      </c>
      <c r="C51" s="1269" t="s">
        <v>290</v>
      </c>
      <c r="D51" s="1269" t="s">
        <v>576</v>
      </c>
      <c r="E51" s="5382"/>
      <c r="F51" s="5382"/>
      <c r="G51" s="5382"/>
      <c r="H51" s="5382"/>
      <c r="I51" s="5384"/>
      <c r="J51" s="5383" t="str">
        <f>S49&amp;".1"</f>
        <v>.1</v>
      </c>
      <c r="K51" s="1269"/>
      <c r="L51" s="1272"/>
      <c r="M51" s="446"/>
      <c r="N51" s="446"/>
      <c r="O51" s="446"/>
      <c r="P51" s="5385"/>
      <c r="Q51" s="5385">
        <v>1</v>
      </c>
      <c r="R51" s="293"/>
      <c r="S51" s="971"/>
      <c r="T51" s="1325"/>
      <c r="U51" s="1310"/>
      <c r="V51" s="5421"/>
      <c r="W51" s="5421"/>
      <c r="X51" s="5421"/>
      <c r="Y51" s="5421"/>
      <c r="Z51" s="5421"/>
      <c r="AA51" s="5421"/>
      <c r="AB51" s="5421"/>
      <c r="AC51" s="5422"/>
      <c r="AD51" s="5420"/>
      <c r="AE51" s="5421"/>
      <c r="AF51" s="5421"/>
      <c r="AG51" s="5421"/>
      <c r="AH51" s="5421"/>
      <c r="AI51" s="5421"/>
      <c r="AJ51" s="5421"/>
      <c r="AK51" s="5421"/>
      <c r="AL51" s="5421"/>
      <c r="AM51" s="5421"/>
      <c r="AN51" s="5474"/>
      <c r="AO51" s="5474"/>
      <c r="AP51" s="5421"/>
      <c r="AQ51" s="5421"/>
      <c r="AR51" s="5421"/>
      <c r="AS51" s="5421"/>
      <c r="AT51" s="5421"/>
      <c r="AU51" s="5421"/>
      <c r="AV51" s="5421"/>
      <c r="AW51" s="5421"/>
      <c r="AX51" s="5421"/>
      <c r="AY51" s="5421"/>
      <c r="AZ51" s="5421"/>
      <c r="BA51" s="5421"/>
      <c r="BB51" s="5422"/>
      <c r="BC51" s="1311"/>
      <c r="BE51" s="436"/>
      <c r="BF51" s="436" t="str">
        <f t="shared" si="3"/>
        <v/>
      </c>
      <c r="BG51" s="436"/>
      <c r="BH51" s="436"/>
      <c r="BI51" s="447">
        <v>0</v>
      </c>
    </row>
    <row r="52" spans="1:61" ht="11.45" customHeight="1">
      <c r="A52" s="1289" t="s">
        <v>288</v>
      </c>
      <c r="B52" s="1289" t="s">
        <v>289</v>
      </c>
      <c r="C52" s="1289" t="s">
        <v>290</v>
      </c>
      <c r="D52" s="1289" t="s">
        <v>576</v>
      </c>
      <c r="E52" s="5382"/>
      <c r="F52" s="5382"/>
      <c r="G52" s="5382"/>
      <c r="H52" s="5382"/>
      <c r="I52" s="5384"/>
      <c r="J52" s="5384"/>
      <c r="K52" s="5383" t="str">
        <f>S48&amp;".1"</f>
        <v>...1</v>
      </c>
      <c r="L52" s="1290"/>
      <c r="P52" s="5385"/>
      <c r="Q52" s="5385"/>
      <c r="R52" s="293">
        <v>1</v>
      </c>
      <c r="S52" s="5448" t="str">
        <f>$K52</f>
        <v>...1</v>
      </c>
      <c r="T52" s="5468"/>
      <c r="U52" s="237"/>
      <c r="V52" s="687"/>
      <c r="W52" s="1183"/>
      <c r="X52" s="687"/>
      <c r="Y52" s="1183"/>
      <c r="Z52" s="1659"/>
      <c r="AA52" s="1395" t="s">
        <v>65</v>
      </c>
      <c r="AB52" s="1659"/>
      <c r="AC52" s="1395" t="s">
        <v>65</v>
      </c>
      <c r="AD52" s="5303" t="s">
        <v>65</v>
      </c>
      <c r="AE52" s="5444"/>
      <c r="AF52" s="5335">
        <v>1</v>
      </c>
      <c r="AG52" s="5467"/>
      <c r="AH52" s="5245" t="s">
        <v>65</v>
      </c>
      <c r="AI52" s="5444"/>
      <c r="AJ52" s="5335">
        <v>1</v>
      </c>
      <c r="AK52" s="5458" t="s">
        <v>28</v>
      </c>
      <c r="AL52" s="5245" t="s">
        <v>65</v>
      </c>
      <c r="AM52" s="5312"/>
      <c r="AN52" s="5335">
        <v>1</v>
      </c>
      <c r="AO52" s="5471"/>
      <c r="AP52" s="5472" t="s">
        <v>65</v>
      </c>
      <c r="AQ52" s="248"/>
      <c r="AR52" s="1412">
        <v>1</v>
      </c>
      <c r="AS52" s="1418" t="s">
        <v>28</v>
      </c>
      <c r="AT52" s="687"/>
      <c r="AU52" s="1183"/>
      <c r="AV52" s="687"/>
      <c r="AW52" s="1183"/>
      <c r="AX52" s="1659"/>
      <c r="AY52" s="1395" t="s">
        <v>65</v>
      </c>
      <c r="AZ52" s="1659"/>
      <c r="BA52" s="1395" t="s">
        <v>65</v>
      </c>
      <c r="BB52" s="1274"/>
      <c r="BC52" s="5405" t="s">
        <v>533</v>
      </c>
      <c r="BE52" s="436"/>
      <c r="BF52" s="436" t="str">
        <f t="shared" si="3"/>
        <v/>
      </c>
      <c r="BG52" s="436"/>
      <c r="BH52" s="436"/>
      <c r="BI52" s="1081">
        <v>11</v>
      </c>
    </row>
    <row r="53" spans="1:61" ht="11.45" customHeight="1">
      <c r="A53" s="1289"/>
      <c r="B53" s="1289"/>
      <c r="C53" s="1289"/>
      <c r="D53" s="1289"/>
      <c r="E53" s="5382"/>
      <c r="F53" s="5382"/>
      <c r="G53" s="5382"/>
      <c r="H53" s="5382"/>
      <c r="I53" s="5384"/>
      <c r="J53" s="5384"/>
      <c r="K53" s="5383"/>
      <c r="L53" s="1290"/>
      <c r="P53" s="5385"/>
      <c r="Q53" s="5385"/>
      <c r="R53" s="293"/>
      <c r="S53" s="5449"/>
      <c r="T53" s="5469"/>
      <c r="U53" s="237"/>
      <c r="V53" s="1319"/>
      <c r="W53" s="1422"/>
      <c r="X53" s="1319"/>
      <c r="Y53" s="1422"/>
      <c r="Z53" s="1319"/>
      <c r="AA53" s="1319"/>
      <c r="AB53" s="1319"/>
      <c r="AC53" s="1319"/>
      <c r="AD53" s="5304"/>
      <c r="AE53" s="5444"/>
      <c r="AF53" s="5335"/>
      <c r="AG53" s="5467"/>
      <c r="AH53" s="5245"/>
      <c r="AI53" s="5444"/>
      <c r="AJ53" s="5335"/>
      <c r="AK53" s="5458"/>
      <c r="AL53" s="5245"/>
      <c r="AM53" s="5317"/>
      <c r="AN53" s="5335"/>
      <c r="AO53" s="5471"/>
      <c r="AP53" s="5473"/>
      <c r="AQ53" s="253"/>
      <c r="AR53" s="352"/>
      <c r="AS53" s="352" t="s">
        <v>534</v>
      </c>
      <c r="AT53" s="1319"/>
      <c r="AU53" s="1422"/>
      <c r="AV53" s="1319"/>
      <c r="AW53" s="1422"/>
      <c r="AX53" s="1319"/>
      <c r="AY53" s="1319"/>
      <c r="AZ53" s="1319"/>
      <c r="BA53" s="1319"/>
      <c r="BB53" s="1323"/>
      <c r="BC53" s="5406"/>
      <c r="BE53" s="436"/>
      <c r="BF53" s="436"/>
      <c r="BG53" s="436"/>
      <c r="BH53" s="436"/>
      <c r="BI53" s="1081">
        <v>11</v>
      </c>
    </row>
    <row r="54" spans="1:61" ht="11.45" customHeight="1">
      <c r="A54" s="1289" t="s">
        <v>288</v>
      </c>
      <c r="B54" s="1289"/>
      <c r="C54" s="1289"/>
      <c r="D54" s="1289"/>
      <c r="E54" s="5382"/>
      <c r="F54" s="5382"/>
      <c r="G54" s="5382"/>
      <c r="H54" s="5382"/>
      <c r="I54" s="5384"/>
      <c r="J54" s="5384"/>
      <c r="K54" s="5383"/>
      <c r="L54" s="1290"/>
      <c r="P54" s="5385"/>
      <c r="Q54" s="5385"/>
      <c r="R54" s="293"/>
      <c r="S54" s="5449"/>
      <c r="T54" s="5469"/>
      <c r="U54" s="237"/>
      <c r="V54" s="1319"/>
      <c r="W54" s="1422"/>
      <c r="X54" s="1319"/>
      <c r="Y54" s="1422"/>
      <c r="Z54" s="1319"/>
      <c r="AA54" s="1319"/>
      <c r="AB54" s="1319"/>
      <c r="AC54" s="1319"/>
      <c r="AD54" s="5304"/>
      <c r="AE54" s="5444"/>
      <c r="AF54" s="5335"/>
      <c r="AG54" s="5467"/>
      <c r="AH54" s="5245"/>
      <c r="AI54" s="5444"/>
      <c r="AJ54" s="5335"/>
      <c r="AK54" s="5458"/>
      <c r="AL54" s="5245"/>
      <c r="AM54" s="253"/>
      <c r="AN54" s="1426"/>
      <c r="AO54" s="1426" t="s">
        <v>535</v>
      </c>
      <c r="AP54" s="352"/>
      <c r="AQ54" s="352"/>
      <c r="AR54" s="352"/>
      <c r="AS54" s="1319"/>
      <c r="AT54" s="1319"/>
      <c r="AU54" s="1422"/>
      <c r="AV54" s="1319"/>
      <c r="AW54" s="1422"/>
      <c r="AX54" s="1319"/>
      <c r="AY54" s="1319"/>
      <c r="AZ54" s="1319"/>
      <c r="BA54" s="1319"/>
      <c r="BB54" s="1323"/>
      <c r="BC54" s="5406"/>
      <c r="BE54" s="436"/>
      <c r="BF54" s="436"/>
      <c r="BG54" s="436"/>
      <c r="BH54" s="436"/>
      <c r="BI54" s="1081">
        <v>11</v>
      </c>
    </row>
    <row r="55" spans="1:61" ht="11.45" customHeight="1">
      <c r="A55" s="1289" t="s">
        <v>288</v>
      </c>
      <c r="B55" s="1289"/>
      <c r="C55" s="1289"/>
      <c r="D55" s="1289"/>
      <c r="E55" s="5382"/>
      <c r="F55" s="5382"/>
      <c r="G55" s="5382"/>
      <c r="H55" s="5382"/>
      <c r="I55" s="5384"/>
      <c r="J55" s="5384"/>
      <c r="K55" s="5383"/>
      <c r="L55" s="1290"/>
      <c r="P55" s="5385"/>
      <c r="Q55" s="5385"/>
      <c r="R55" s="293"/>
      <c r="S55" s="5449"/>
      <c r="T55" s="5469"/>
      <c r="U55" s="237"/>
      <c r="V55" s="1319"/>
      <c r="W55" s="1422"/>
      <c r="X55" s="1319"/>
      <c r="Y55" s="1422"/>
      <c r="Z55" s="1319"/>
      <c r="AA55" s="1319"/>
      <c r="AB55" s="1319"/>
      <c r="AC55" s="1319"/>
      <c r="AD55" s="5304"/>
      <c r="AE55" s="5444"/>
      <c r="AF55" s="5335"/>
      <c r="AG55" s="5467"/>
      <c r="AH55" s="5245"/>
      <c r="AI55" s="231"/>
      <c r="AJ55" s="351"/>
      <c r="AK55" s="250" t="s">
        <v>536</v>
      </c>
      <c r="AL55" s="1319"/>
      <c r="AM55" s="1319"/>
      <c r="AN55" s="1319"/>
      <c r="AO55" s="1319"/>
      <c r="AP55" s="1319"/>
      <c r="AQ55" s="1319"/>
      <c r="AR55" s="1319"/>
      <c r="AS55" s="1319"/>
      <c r="AT55" s="1319"/>
      <c r="AU55" s="1422"/>
      <c r="AV55" s="1319"/>
      <c r="AW55" s="1422"/>
      <c r="AX55" s="1319"/>
      <c r="AY55" s="1319"/>
      <c r="AZ55" s="1319"/>
      <c r="BA55" s="1319"/>
      <c r="BB55" s="1323"/>
      <c r="BC55" s="5406"/>
      <c r="BE55" s="436"/>
      <c r="BF55" s="436"/>
      <c r="BG55" s="436"/>
      <c r="BH55" s="436"/>
      <c r="BI55" s="1081">
        <v>11</v>
      </c>
    </row>
    <row r="56" spans="1:61" ht="11.45" customHeight="1">
      <c r="A56" s="1289" t="s">
        <v>288</v>
      </c>
      <c r="B56" s="1289" t="s">
        <v>289</v>
      </c>
      <c r="C56" s="1289" t="s">
        <v>290</v>
      </c>
      <c r="D56" s="1289" t="s">
        <v>576</v>
      </c>
      <c r="E56" s="5382"/>
      <c r="F56" s="5382"/>
      <c r="G56" s="5382"/>
      <c r="H56" s="5382"/>
      <c r="I56" s="5384"/>
      <c r="J56" s="5384"/>
      <c r="K56" s="5383"/>
      <c r="L56" s="1290"/>
      <c r="P56" s="5385"/>
      <c r="Q56" s="5385"/>
      <c r="R56" s="293"/>
      <c r="S56" s="5450"/>
      <c r="T56" s="5470"/>
      <c r="U56" s="237"/>
      <c r="V56" s="1319"/>
      <c r="W56" s="1320" t="str">
        <f>Z52&amp;"-"&amp;AB52</f>
        <v>-</v>
      </c>
      <c r="X56" s="1319"/>
      <c r="Y56" s="1320" t="str">
        <f>AB52&amp;"-"&amp;AD52</f>
        <v>-да</v>
      </c>
      <c r="Z56" s="1319"/>
      <c r="AA56" s="1319"/>
      <c r="AB56" s="1319"/>
      <c r="AC56" s="1319"/>
      <c r="AD56" s="5250"/>
      <c r="AE56" s="249"/>
      <c r="AF56" s="251"/>
      <c r="AG56" s="352" t="s">
        <v>537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5406"/>
      <c r="BE56" s="436"/>
      <c r="BF56" s="436" t="str">
        <f t="shared" ref="BF56:BF63" si="4">IF(T56="","",T56)</f>
        <v/>
      </c>
      <c r="BG56" s="436"/>
      <c r="BH56" s="436"/>
      <c r="BI56" s="1081">
        <v>11</v>
      </c>
    </row>
    <row r="57" spans="1:61" ht="11.45" customHeight="1">
      <c r="A57" s="1289" t="s">
        <v>288</v>
      </c>
      <c r="B57" s="1289" t="s">
        <v>289</v>
      </c>
      <c r="C57" s="1289" t="s">
        <v>290</v>
      </c>
      <c r="D57" s="1289" t="s">
        <v>576</v>
      </c>
      <c r="E57" s="5382"/>
      <c r="F57" s="5382"/>
      <c r="G57" s="5382"/>
      <c r="H57" s="5382"/>
      <c r="I57" s="5384"/>
      <c r="J57" s="5383"/>
      <c r="K57" s="1289"/>
      <c r="L57" s="1290"/>
      <c r="P57" s="5385"/>
      <c r="Q57" s="5385"/>
      <c r="R57" s="292"/>
      <c r="S57" s="1204"/>
      <c r="T57" s="224" t="s">
        <v>500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5407"/>
      <c r="BE57" s="436"/>
      <c r="BF57" s="436" t="str">
        <f t="shared" si="4"/>
        <v>Добавить строку</v>
      </c>
      <c r="BG57" s="436"/>
      <c r="BH57" s="436"/>
      <c r="BI57" s="1081">
        <v>11</v>
      </c>
    </row>
    <row r="58" spans="1:61" s="1568" customFormat="1" ht="0" hidden="1" customHeight="1">
      <c r="A58" s="1269" t="s">
        <v>288</v>
      </c>
      <c r="B58" s="1269" t="s">
        <v>289</v>
      </c>
      <c r="C58" s="1269" t="s">
        <v>290</v>
      </c>
      <c r="D58" s="1269" t="s">
        <v>576</v>
      </c>
      <c r="E58" s="5382"/>
      <c r="F58" s="5382"/>
      <c r="G58" s="5382"/>
      <c r="H58" s="5382"/>
      <c r="I58" s="5383"/>
      <c r="J58" s="1269"/>
      <c r="K58" s="1269"/>
      <c r="L58" s="1272"/>
      <c r="M58" s="446"/>
      <c r="N58" s="446"/>
      <c r="O58" s="446"/>
      <c r="P58" s="5385"/>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288</v>
      </c>
      <c r="B59" s="1269" t="s">
        <v>289</v>
      </c>
      <c r="C59" s="1269" t="s">
        <v>290</v>
      </c>
      <c r="D59" s="1269" t="s">
        <v>576</v>
      </c>
      <c r="E59" s="5382"/>
      <c r="F59" s="5382"/>
      <c r="G59" s="5382"/>
      <c r="H59" s="538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288</v>
      </c>
      <c r="B60" s="1269" t="s">
        <v>289</v>
      </c>
      <c r="C60" s="1269" t="s">
        <v>290</v>
      </c>
      <c r="D60" s="1240"/>
      <c r="E60" s="5382"/>
      <c r="F60" s="5382"/>
      <c r="G60" s="538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288</v>
      </c>
      <c r="B61" s="1269" t="s">
        <v>289</v>
      </c>
      <c r="C61" s="1240"/>
      <c r="D61" s="1240"/>
      <c r="E61" s="5382"/>
      <c r="F61" s="5381"/>
      <c r="G61" s="1240"/>
      <c r="H61" s="1240"/>
      <c r="I61" s="1240"/>
      <c r="J61" s="1240"/>
      <c r="K61" s="1240"/>
      <c r="L61" s="1420"/>
      <c r="M61" s="1247"/>
      <c r="N61" s="1247"/>
      <c r="P61" s="1242"/>
      <c r="Q61" s="1243"/>
      <c r="R61" s="1242"/>
      <c r="S61" s="1248"/>
      <c r="T61" s="1251" t="s">
        <v>164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288</v>
      </c>
      <c r="B62" s="1269"/>
      <c r="C62" s="1269"/>
      <c r="D62" s="1269"/>
      <c r="E62" s="5381"/>
      <c r="F62" s="1269"/>
      <c r="G62" s="1269"/>
      <c r="H62" s="1269"/>
      <c r="I62" s="1269"/>
      <c r="J62" s="1269"/>
      <c r="K62" s="1269"/>
      <c r="L62" s="1272"/>
      <c r="M62" s="1247"/>
      <c r="N62" s="1247"/>
      <c r="O62" s="454"/>
      <c r="P62" s="316"/>
      <c r="Q62" s="1270"/>
      <c r="R62" s="316"/>
      <c r="S62" s="1248"/>
      <c r="T62" s="1251" t="s">
        <v>165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182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5379"/>
      <c r="U65" s="5379"/>
      <c r="V65" s="5379"/>
      <c r="W65" s="5379"/>
      <c r="X65" s="5379"/>
      <c r="Y65" s="5379"/>
      <c r="Z65" s="5379"/>
      <c r="AA65" s="5379"/>
      <c r="AB65" s="5379"/>
      <c r="AC65" s="5379"/>
      <c r="AD65" s="5379"/>
      <c r="AE65" s="5379"/>
      <c r="AF65" s="5379"/>
      <c r="AG65" s="5379"/>
      <c r="AH65" s="5379"/>
      <c r="AI65" s="5379"/>
      <c r="AJ65" s="5379"/>
      <c r="AK65" s="5379"/>
      <c r="AL65" s="5379"/>
      <c r="AM65" s="5379"/>
      <c r="AN65" s="5379"/>
      <c r="AO65" s="5379"/>
      <c r="AP65" s="5379"/>
      <c r="AQ65" s="5379"/>
      <c r="AR65" s="5379"/>
      <c r="AS65" s="5379"/>
      <c r="AT65" s="5379"/>
      <c r="AU65" s="5379"/>
      <c r="AV65" s="5379"/>
      <c r="AW65" s="5379"/>
      <c r="AX65" s="5379"/>
      <c r="AY65" s="5379"/>
      <c r="AZ65" s="5379"/>
      <c r="BA65" s="5379"/>
      <c r="BB65" s="5379"/>
      <c r="BC65" s="5379"/>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5379"/>
      <c r="U67" s="5379"/>
      <c r="V67" s="5379"/>
      <c r="W67" s="5379"/>
      <c r="X67" s="5379"/>
      <c r="Y67" s="5379"/>
      <c r="Z67" s="5379"/>
      <c r="AA67" s="5379"/>
      <c r="AB67" s="5379"/>
      <c r="AC67" s="5379"/>
      <c r="AD67" s="5379"/>
      <c r="AE67" s="5379"/>
      <c r="AF67" s="5379"/>
      <c r="AG67" s="5379"/>
      <c r="AH67" s="5379"/>
      <c r="AI67" s="5379"/>
      <c r="AJ67" s="5379"/>
      <c r="AK67" s="5379"/>
      <c r="AL67" s="5379"/>
      <c r="AM67" s="5379"/>
      <c r="AN67" s="5379"/>
      <c r="AO67" s="5379"/>
      <c r="AP67" s="5379"/>
      <c r="AQ67" s="5379"/>
      <c r="AR67" s="5379"/>
      <c r="AS67" s="5379"/>
      <c r="AT67" s="5379"/>
      <c r="AU67" s="5379"/>
      <c r="AV67" s="5379"/>
      <c r="AW67" s="5379"/>
      <c r="AX67" s="5379"/>
      <c r="AY67" s="5379"/>
      <c r="AZ67" s="5379"/>
      <c r="BA67" s="5379"/>
      <c r="BB67" s="5379"/>
      <c r="BC67" s="5379"/>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5220"/>
      <c r="C2" s="1093" t="s">
        <v>577</v>
      </c>
      <c r="D2" s="1564"/>
      <c r="E2" s="482">
        <f>B2</f>
        <v>0</v>
      </c>
      <c r="F2" s="483"/>
      <c r="G2" s="1572" t="s">
        <v>578</v>
      </c>
      <c r="H2" s="1572" t="s">
        <v>578</v>
      </c>
      <c r="I2" s="1572" t="s">
        <v>578</v>
      </c>
      <c r="J2" s="226" t="s">
        <v>579</v>
      </c>
      <c r="K2" s="479"/>
      <c r="AF2" s="1557">
        <v>0</v>
      </c>
    </row>
    <row r="3" spans="1:32" s="1568" customFormat="1" ht="0.75" hidden="1" customHeight="1">
      <c r="B3" s="5220"/>
      <c r="C3" s="1093"/>
      <c r="D3" s="484"/>
      <c r="E3" s="485"/>
      <c r="F3" s="486" t="s">
        <v>580</v>
      </c>
      <c r="G3" s="487"/>
      <c r="H3" s="487">
        <f>H4*H5+H7</f>
        <v>0</v>
      </c>
      <c r="I3" s="487">
        <f>I4*I5+I6</f>
        <v>0</v>
      </c>
      <c r="J3" s="488"/>
      <c r="AF3" s="1562">
        <v>0</v>
      </c>
    </row>
    <row r="4" spans="1:32" ht="23.25" hidden="1" customHeight="1">
      <c r="B4" s="5220"/>
      <c r="C4" s="1093"/>
      <c r="D4" s="1564"/>
      <c r="E4" s="482" t="str">
        <f>B2&amp;".1"</f>
        <v>.1</v>
      </c>
      <c r="F4" s="489" t="s">
        <v>581</v>
      </c>
      <c r="G4" s="490"/>
      <c r="H4" s="477"/>
      <c r="I4" s="477"/>
      <c r="J4" s="226" t="s">
        <v>582</v>
      </c>
      <c r="K4" s="479"/>
      <c r="AF4" s="1557">
        <v>0</v>
      </c>
    </row>
    <row r="5" spans="1:32" ht="18.75" hidden="1" customHeight="1">
      <c r="B5" s="5220"/>
      <c r="C5" s="1093"/>
      <c r="D5" s="1564"/>
      <c r="E5" s="482" t="str">
        <f>B2&amp;".2"</f>
        <v>.2</v>
      </c>
      <c r="F5" s="489" t="s">
        <v>583</v>
      </c>
      <c r="G5" s="1572" t="s">
        <v>584</v>
      </c>
      <c r="H5" s="477"/>
      <c r="I5" s="477"/>
      <c r="J5" s="226"/>
      <c r="K5" s="479"/>
      <c r="AF5" s="1557">
        <v>0</v>
      </c>
    </row>
    <row r="6" spans="1:32" ht="18.75" hidden="1" customHeight="1">
      <c r="B6" s="5220"/>
      <c r="C6" s="1093"/>
      <c r="D6" s="1564"/>
      <c r="E6" s="482" t="str">
        <f>B2&amp;".3"</f>
        <v>.3</v>
      </c>
      <c r="F6" s="489" t="s">
        <v>585</v>
      </c>
      <c r="G6" s="1572" t="s">
        <v>584</v>
      </c>
      <c r="H6" s="477"/>
      <c r="I6" s="477"/>
      <c r="J6" s="226"/>
      <c r="K6" s="479"/>
      <c r="AF6" s="1557">
        <v>0</v>
      </c>
    </row>
    <row r="7" spans="1:32" ht="18.75" hidden="1" customHeight="1">
      <c r="B7" s="5220"/>
      <c r="C7" s="1093"/>
      <c r="D7" s="1564"/>
      <c r="E7" s="482" t="str">
        <f>B2&amp;".4"</f>
        <v>.4</v>
      </c>
      <c r="F7" s="489" t="s">
        <v>586</v>
      </c>
      <c r="G7" s="1572" t="s">
        <v>578</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584</v>
      </c>
      <c r="H9" s="477"/>
      <c r="I9" s="477"/>
      <c r="J9" s="478" t="s">
        <v>587</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588</v>
      </c>
      <c r="H11" s="477"/>
      <c r="I11" s="477"/>
      <c r="J11" s="226" t="s">
        <v>589</v>
      </c>
      <c r="K11" s="479"/>
      <c r="AF11" s="1557">
        <v>0</v>
      </c>
    </row>
    <row r="12" spans="1:32" ht="11.25" hidden="1" customHeight="1">
      <c r="AF12" s="1557">
        <v>0</v>
      </c>
    </row>
    <row r="13" spans="1:32" ht="22.5" hidden="1" customHeight="1">
      <c r="D13" s="1564"/>
      <c r="E13" s="482"/>
      <c r="F13" s="476"/>
      <c r="G13" s="898" t="s">
        <v>590</v>
      </c>
      <c r="H13" s="481"/>
      <c r="I13" s="481"/>
      <c r="J13" s="681" t="s">
        <v>591</v>
      </c>
      <c r="K13" s="479"/>
      <c r="AF13" s="1557">
        <v>0</v>
      </c>
    </row>
    <row r="14" spans="1:32" ht="11.25" hidden="1" customHeight="1">
      <c r="AF14" s="1557">
        <v>0</v>
      </c>
    </row>
    <row r="15" spans="1:32" ht="22.5" hidden="1" customHeight="1">
      <c r="D15" s="1564"/>
      <c r="E15" s="482"/>
      <c r="F15" s="476"/>
      <c r="G15" s="1572" t="s">
        <v>592</v>
      </c>
      <c r="H15" s="481"/>
      <c r="I15" s="481"/>
      <c r="J15" s="226" t="s">
        <v>593</v>
      </c>
      <c r="K15" s="479"/>
      <c r="AF15" s="1557">
        <v>0</v>
      </c>
    </row>
    <row r="16" spans="1:32" ht="11.25" hidden="1" customHeight="1">
      <c r="AF16" s="1557">
        <v>0</v>
      </c>
    </row>
    <row r="17" spans="1:32" ht="22.5" hidden="1" customHeight="1">
      <c r="D17" s="1564"/>
      <c r="E17" s="482"/>
      <c r="F17" s="476"/>
      <c r="G17" s="1572" t="s">
        <v>594</v>
      </c>
      <c r="H17" s="481"/>
      <c r="I17" s="481"/>
      <c r="J17" s="226" t="s">
        <v>595</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5359"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5359"/>
      <c r="G21" s="5359"/>
      <c r="H21" s="5359"/>
      <c r="I21" s="5359"/>
      <c r="J21" s="492"/>
      <c r="AF21" s="1557">
        <v>24</v>
      </c>
    </row>
    <row r="22" spans="1:32" ht="25.15" customHeight="1">
      <c r="E22" s="5331" t="str">
        <f>IF(org=0,"Не определено",org)</f>
        <v>ПАО "ТГК-1" филиал "Невский"</v>
      </c>
      <c r="F22" s="5331"/>
      <c r="G22" s="5331"/>
      <c r="H22" s="5331"/>
      <c r="I22" s="5331"/>
      <c r="AF22" s="1557">
        <v>24</v>
      </c>
    </row>
    <row r="23" spans="1:32" ht="11.45" customHeight="1">
      <c r="E23" s="1061"/>
      <c r="F23" s="1061"/>
      <c r="G23" s="1061"/>
      <c r="H23" s="1061"/>
      <c r="I23" s="1061"/>
      <c r="AF23" s="1557">
        <v>11</v>
      </c>
    </row>
    <row r="24" spans="1:32" s="1568" customFormat="1" ht="1.1499999999999999" customHeight="1">
      <c r="A24" s="1093"/>
      <c r="H24" s="818"/>
      <c r="I24" s="818" t="s">
        <v>119</v>
      </c>
      <c r="AF24" s="1562">
        <v>1</v>
      </c>
    </row>
    <row r="25" spans="1:32" ht="11.45" customHeight="1">
      <c r="E25" s="647"/>
      <c r="F25" s="5478" t="s">
        <v>107</v>
      </c>
      <c r="G25" s="5479"/>
      <c r="H25" s="1578" t="str">
        <f>IF(H24="","",INDEX(DIFFERENTIATION_UNMERGE_VD,MATCH(H24,DIFFERENTIATION_ID_DIFF,0)))</f>
        <v/>
      </c>
      <c r="I25" s="1578">
        <f>IF(I24="","",INDEX(DIFFERENTIATION_UNMERGE_VD,MATCH(I24,DIFFERENTIATION_ID_DIFF,0)))</f>
        <v>0</v>
      </c>
      <c r="J25" s="5235"/>
      <c r="AF25" s="1557">
        <v>11</v>
      </c>
    </row>
    <row r="26" spans="1:32" ht="11.45" customHeight="1">
      <c r="E26" s="647"/>
      <c r="F26" s="5478" t="s">
        <v>596</v>
      </c>
      <c r="G26" s="5479"/>
      <c r="H26" s="1578" t="str">
        <f>IF(H24="","",INDEX(DIFFERENTIATION_UNMERGE_AREA,MATCH(H24,DIFFERENTIATION_ID_DIFF,0)))</f>
        <v/>
      </c>
      <c r="I26" s="1578" t="str">
        <f>IF(I24="","",INDEX(DIFFERENTIATION_UNMERGE_AREA,MATCH(I24,DIFFERENTIATION_ID_DIFF,0)))</f>
        <v/>
      </c>
      <c r="J26" s="5235"/>
      <c r="AF26" s="1557">
        <v>11</v>
      </c>
    </row>
    <row r="27" spans="1:32" ht="11.45" customHeight="1">
      <c r="E27" s="647"/>
      <c r="F27" s="5478" t="s">
        <v>597</v>
      </c>
      <c r="G27" s="5479"/>
      <c r="H27" s="1578" t="str">
        <f>IF(H24="","",INDEX(DIFFERENTIATION_UNMERGE_SYSTEM,MATCH(H24,DIFFERENTIATION_ID_DIFF,0)))</f>
        <v/>
      </c>
      <c r="I27" s="1578" t="str">
        <f>IF(I24="","",INDEX(DIFFERENTIATION_UNMERGE_SYSTEM,MATCH(I24,DIFFERENTIATION_ID_DIFF,0)))</f>
        <v>без дифференциации</v>
      </c>
      <c r="J27" s="5235"/>
      <c r="AF27" s="1557">
        <v>11</v>
      </c>
    </row>
    <row r="28" spans="1:32" ht="11.45" customHeight="1">
      <c r="E28" s="5480" t="s">
        <v>327</v>
      </c>
      <c r="F28" s="5481"/>
      <c r="G28" s="5481"/>
      <c r="H28" s="1571"/>
      <c r="I28" s="1571"/>
      <c r="J28" s="5235"/>
      <c r="AF28" s="1557">
        <v>11</v>
      </c>
    </row>
    <row r="29" spans="1:32" ht="24" customHeight="1">
      <c r="E29" s="1572" t="s">
        <v>90</v>
      </c>
      <c r="F29" s="1579" t="s">
        <v>329</v>
      </c>
      <c r="G29" s="1579" t="s">
        <v>598</v>
      </c>
      <c r="H29" s="1579" t="s">
        <v>330</v>
      </c>
      <c r="I29" s="1579" t="s">
        <v>330</v>
      </c>
      <c r="J29" s="5235"/>
      <c r="AF29" s="1557">
        <v>23</v>
      </c>
    </row>
    <row r="30" spans="1:32" ht="19.899999999999999" customHeight="1">
      <c r="D30" s="1564"/>
      <c r="E30" s="482">
        <f>FHD_NUM_P_1</f>
        <v>1</v>
      </c>
      <c r="F30" s="1804" t="str">
        <f>FHD_P_1</f>
        <v>Выручка от регулируемого вида деятельности с распределением по видам деятельности</v>
      </c>
      <c r="G30" s="1802" t="s">
        <v>584</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584</v>
      </c>
      <c r="H31" s="494">
        <f>SUMIF($K33:$K71,$K31,H33:H71)</f>
        <v>0</v>
      </c>
      <c r="I31" s="494">
        <f>SUMIF($K33:$K71,$K31,I33:I71)</f>
        <v>0</v>
      </c>
      <c r="J31" s="226" t="str">
        <f>FHD_NOTE_P_2</f>
        <v>Указывается суммарная себестоимость производимых товаров.</v>
      </c>
      <c r="K31" s="1562" t="s">
        <v>599</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2" t="s">
        <v>584</v>
      </c>
      <c r="H32" s="493"/>
      <c r="I32" s="493"/>
      <c r="J32" s="226" t="str">
        <f>FHD_NOTE_P_3</f>
        <v/>
      </c>
      <c r="K32" s="1562" t="str">
        <f t="shared" ref="K32:K70" si="0">IF((LEN(E32)-LEN(SUBSTITUTE(E32,".","")))/LEN(".")=1,"p","")</f>
        <v>p</v>
      </c>
      <c r="AF32" s="1557">
        <v>11</v>
      </c>
    </row>
    <row r="33" spans="1:32" ht="11.25" customHeight="1">
      <c r="A33" s="5476" t="s">
        <v>600</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584</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5476"/>
      <c r="B34" s="5477"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5476"/>
      <c r="B35" s="5477"/>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5476"/>
      <c r="B36" s="5477"/>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5476"/>
      <c r="B37" s="5477"/>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5476"/>
      <c r="B38" s="5477"/>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5476"/>
      <c r="B39" s="5477"/>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5476"/>
      <c r="C40" s="1562"/>
      <c r="D40" s="1559"/>
      <c r="E40" s="506"/>
      <c r="F40" s="507" t="s">
        <v>601</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5476" t="s">
        <v>602</v>
      </c>
      <c r="D41" s="1564"/>
      <c r="E41" s="482" t="str">
        <f>FHD_NUM_P_5</f>
        <v/>
      </c>
      <c r="F41" s="1450" t="str">
        <f>FHD_P_5</f>
        <v/>
      </c>
      <c r="G41" s="1802" t="s">
        <v>584</v>
      </c>
      <c r="H41" s="493"/>
      <c r="I41" s="493"/>
      <c r="J41" s="226" t="str">
        <f>FHD_NOTE_P_5</f>
        <v/>
      </c>
      <c r="K41" s="1562" t="str">
        <f t="shared" si="0"/>
        <v/>
      </c>
      <c r="AF41" s="1557">
        <v>0</v>
      </c>
    </row>
    <row r="42" spans="1:32" ht="11.25" hidden="1" customHeight="1">
      <c r="A42" s="5476"/>
      <c r="D42" s="1564"/>
      <c r="E42" s="482" t="str">
        <f>FHD_NUM_P_6</f>
        <v/>
      </c>
      <c r="F42" s="1450" t="str">
        <f>FHD_P_6</f>
        <v/>
      </c>
      <c r="G42" s="1802" t="s">
        <v>584</v>
      </c>
      <c r="H42" s="493"/>
      <c r="I42" s="493"/>
      <c r="J42" s="226" t="str">
        <f>FHD_NOTE_P_6</f>
        <v/>
      </c>
      <c r="K42" s="1562" t="str">
        <f t="shared" si="0"/>
        <v/>
      </c>
      <c r="AF42" s="1557">
        <v>0</v>
      </c>
    </row>
    <row r="43" spans="1:32" ht="11.25" hidden="1" customHeight="1">
      <c r="A43" s="5476"/>
      <c r="D43" s="1564"/>
      <c r="E43" s="482" t="str">
        <f>FHD_NUM_P_7</f>
        <v/>
      </c>
      <c r="F43" s="1450" t="str">
        <f>FHD_P_7</f>
        <v/>
      </c>
      <c r="G43" s="1802" t="s">
        <v>584</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584</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v>
      </c>
      <c r="G45" s="1802" t="s">
        <v>603</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2" t="s">
        <v>604</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605</v>
      </c>
      <c r="C47" s="1562"/>
      <c r="D47" s="511"/>
      <c r="E47" s="482" t="str">
        <f>FHD_NUM_P_11</f>
        <v>2.4</v>
      </c>
      <c r="F47" s="1450" t="str">
        <f>FHD_P_11</f>
        <v>Расходы на приобретение холодной воды, используемой в технологическом процессе</v>
      </c>
      <c r="G47" s="1802" t="s">
        <v>584</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606</v>
      </c>
      <c r="C48" s="1562"/>
      <c r="D48" s="1564"/>
      <c r="E48" s="482" t="str">
        <f>FHD_NUM_P_12</f>
        <v>2.5</v>
      </c>
      <c r="F48" s="1450" t="str">
        <f>FHD_P_12</f>
        <v>Расходы на  хим. реагенты, используемые в технологическом процессе</v>
      </c>
      <c r="G48" s="1802" t="s">
        <v>584</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584</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584</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1802" t="s">
        <v>584</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2" t="s">
        <v>584</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584</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1802" t="s">
        <v>584</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584</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2" t="s">
        <v>584</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2" t="s">
        <v>584</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584</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2" t="s">
        <v>584</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2" t="s">
        <v>584</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2" t="s">
        <v>584</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2" t="s">
        <v>584</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2" t="s">
        <v>584</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2" t="s">
        <v>584</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производственных средств</v>
      </c>
      <c r="G65" s="1802" t="s">
        <v>584</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333</v>
      </c>
      <c r="H66" s="1575" t="s">
        <v>607</v>
      </c>
      <c r="I66" s="1575" t="s">
        <v>607</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5476" t="s">
        <v>608</v>
      </c>
      <c r="C67" s="1562"/>
      <c r="D67" s="1564"/>
      <c r="E67" s="482" t="str">
        <f>FHD_NUM_P_31</f>
        <v/>
      </c>
      <c r="F67" s="1450" t="str">
        <f>FHD_P_31</f>
        <v/>
      </c>
      <c r="G67" s="1802" t="s">
        <v>584</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5476"/>
      <c r="C68" s="1562"/>
      <c r="D68" s="1564"/>
      <c r="E68" s="482" t="str">
        <f>FHD_NUM_P_32</f>
        <v/>
      </c>
      <c r="F68" s="1576" t="str">
        <f>FHD_P_32</f>
        <v/>
      </c>
      <c r="G68" s="1802" t="s">
        <v>333</v>
      </c>
      <c r="H68" s="1575" t="s">
        <v>607</v>
      </c>
      <c r="I68" s="1575" t="s">
        <v>607</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584</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609</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610</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584</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4" t="str">
        <f>FHD_P_35</f>
        <v>Чистая прибыль, полученная от регулируемого вида деятельности, в том числе:</v>
      </c>
      <c r="G73" s="1802" t="s">
        <v>584</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584</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4" t="str">
        <f>FHD_P_37</f>
        <v>Изменение стоимости основных фондов, в том числе:</v>
      </c>
      <c r="G75" s="1802" t="s">
        <v>584</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за счет их ввода в эксплуатацию (вывода из эксплуатации)</v>
      </c>
      <c r="G76" s="1802" t="s">
        <v>584</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за счет их ввода в эксплуатацию</v>
      </c>
      <c r="G77" s="1993" t="s">
        <v>584</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7" t="str">
        <f>FHD_P_40</f>
        <v>за счет их вывода в эксплуатацию</v>
      </c>
      <c r="G78" s="1992" t="s">
        <v>584</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6" t="str">
        <f>FHD_P_41</f>
        <v>за счет их переоценки</v>
      </c>
      <c r="G79" s="1992" t="s">
        <v>584</v>
      </c>
      <c r="H79" s="905"/>
      <c r="I79" s="493"/>
      <c r="J79" s="226" t="str">
        <f>FHD_NOTE_P_41</f>
        <v/>
      </c>
      <c r="K79" s="479"/>
      <c r="L79" s="1562"/>
      <c r="M79" s="1562"/>
      <c r="R79" s="1562"/>
      <c r="U79" s="480"/>
      <c r="AA79" s="1558"/>
      <c r="AB79" s="1558"/>
      <c r="AC79" s="1558"/>
      <c r="AD79" s="1558"/>
      <c r="AE79" s="1558"/>
      <c r="AF79" s="1086">
        <v>19</v>
      </c>
    </row>
    <row r="80" spans="1:32" s="1292" customFormat="1" ht="20.25" hidden="1" customHeight="1">
      <c r="A80" s="918" t="s">
        <v>611</v>
      </c>
      <c r="C80" s="1562"/>
      <c r="D80" s="1564"/>
      <c r="E80" s="482" t="str">
        <f>FHD_NUM_P_42</f>
        <v/>
      </c>
      <c r="F80" s="1994" t="str">
        <f>FHD_P_42</f>
        <v/>
      </c>
      <c r="G80" s="1992" t="s">
        <v>584</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333</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5476" t="s">
        <v>612</v>
      </c>
      <c r="C82" s="671"/>
      <c r="D82" s="669"/>
      <c r="E82" s="482" t="str">
        <f>FHD_NUM_P_44</f>
        <v/>
      </c>
      <c r="F82" s="1804" t="str">
        <f>FHD_P_44</f>
        <v/>
      </c>
      <c r="G82" s="1805" t="s">
        <v>613</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5476"/>
      <c r="C83" s="671"/>
      <c r="D83" s="669"/>
      <c r="E83" s="482" t="str">
        <f>FHD_NUM_P_45</f>
        <v/>
      </c>
      <c r="F83" s="1804" t="str">
        <f>FHD_P_45</f>
        <v/>
      </c>
      <c r="G83" s="1805" t="s">
        <v>613</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5476"/>
      <c r="C84" s="671"/>
      <c r="D84" s="674"/>
      <c r="E84" s="482" t="str">
        <f>FHD_NUM_P_46</f>
        <v/>
      </c>
      <c r="F84" s="1804" t="str">
        <f>FHD_P_46</f>
        <v/>
      </c>
      <c r="G84" s="1805" t="s">
        <v>613</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5476"/>
      <c r="C85" s="671"/>
      <c r="D85" s="669"/>
      <c r="E85" s="482" t="str">
        <f>FHD_NUM_P_47</f>
        <v/>
      </c>
      <c r="F85" s="1804" t="str">
        <f>FHD_P_47</f>
        <v/>
      </c>
      <c r="G85" s="1805" t="s">
        <v>613</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5476"/>
      <c r="B86" s="839"/>
      <c r="C86" s="671"/>
      <c r="D86" s="669"/>
      <c r="E86" s="482" t="str">
        <f>FHD_NUM_P_48</f>
        <v/>
      </c>
      <c r="F86" s="1804" t="str">
        <f>FHD_P_48</f>
        <v/>
      </c>
      <c r="G86" s="1805" t="s">
        <v>613</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5476"/>
      <c r="B87" s="839"/>
      <c r="C87" s="671"/>
      <c r="D87" s="669"/>
      <c r="E87" s="482" t="str">
        <f>FHD_NUM_P_49</f>
        <v/>
      </c>
      <c r="F87" s="1804" t="str">
        <f>FHD_P_49</f>
        <v/>
      </c>
      <c r="G87" s="1805" t="s">
        <v>613</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5476"/>
      <c r="B88" s="839"/>
      <c r="C88" s="671"/>
      <c r="D88" s="669"/>
      <c r="E88" s="482" t="str">
        <f>FHD_NUM_P_50</f>
        <v/>
      </c>
      <c r="F88" s="1804" t="str">
        <f>FHD_P_50</f>
        <v/>
      </c>
      <c r="G88" s="1805" t="s">
        <v>613</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5476"/>
      <c r="B89" s="839"/>
      <c r="C89" s="671"/>
      <c r="D89" s="669"/>
      <c r="E89" s="482" t="str">
        <f>FHD_NUM_P_51</f>
        <v/>
      </c>
      <c r="F89" s="1804" t="str">
        <f>FHD_P_51</f>
        <v/>
      </c>
      <c r="G89" s="1805" t="s">
        <v>613</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5476"/>
      <c r="B90" s="839"/>
      <c r="C90" s="671"/>
      <c r="D90" s="669"/>
      <c r="E90" s="482" t="str">
        <f>FHD_NUM_P_52</f>
        <v/>
      </c>
      <c r="F90" s="1804" t="str">
        <f>FHD_P_52</f>
        <v/>
      </c>
      <c r="G90" s="1805" t="s">
        <v>590</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5476" t="s">
        <v>614</v>
      </c>
      <c r="C91" s="671"/>
      <c r="D91" s="669"/>
      <c r="E91" s="482" t="str">
        <f>FHD_NUM_P_53</f>
        <v/>
      </c>
      <c r="F91" s="1804" t="str">
        <f>FHD_P_53</f>
        <v/>
      </c>
      <c r="G91" s="1805" t="s">
        <v>613</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5476"/>
      <c r="C92" s="671"/>
      <c r="D92" s="669"/>
      <c r="E92" s="482" t="str">
        <f>FHD_NUM_P_54</f>
        <v/>
      </c>
      <c r="F92" s="1804" t="str">
        <f>FHD_P_54</f>
        <v/>
      </c>
      <c r="G92" s="1805" t="s">
        <v>613</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5476"/>
      <c r="C93" s="671"/>
      <c r="D93" s="674"/>
      <c r="E93" s="482" t="str">
        <f>FHD_NUM_P_55</f>
        <v/>
      </c>
      <c r="F93" s="1804" t="str">
        <f>FHD_P_55</f>
        <v/>
      </c>
      <c r="G93" s="1808"/>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5476"/>
      <c r="C94" s="671"/>
      <c r="D94" s="669"/>
      <c r="E94" s="482" t="str">
        <f>FHD_NUM_P_56</f>
        <v/>
      </c>
      <c r="F94" s="1804" t="str">
        <f>FHD_P_56</f>
        <v/>
      </c>
      <c r="G94" s="1805" t="s">
        <v>615</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5476"/>
      <c r="B95" s="839"/>
      <c r="C95" s="671"/>
      <c r="D95" s="669"/>
      <c r="E95" s="482" t="str">
        <f>FHD_NUM_P_57</f>
        <v/>
      </c>
      <c r="F95" s="1804" t="str">
        <f>FHD_P_57</f>
        <v/>
      </c>
      <c r="G95" s="1805" t="s">
        <v>590</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5476" t="s">
        <v>616</v>
      </c>
      <c r="D96" s="1564"/>
      <c r="E96" s="482" t="str">
        <f>FHD_NUM_P_58</f>
        <v/>
      </c>
      <c r="F96" s="1804" t="str">
        <f>FHD_P_58</f>
        <v/>
      </c>
      <c r="G96" s="1805" t="s">
        <v>613</v>
      </c>
      <c r="H96" s="906"/>
      <c r="I96" s="513"/>
      <c r="J96" s="226" t="str">
        <f>FHD_NOTE_P_58</f>
        <v/>
      </c>
      <c r="K96" s="479"/>
      <c r="AF96" s="1557">
        <v>0</v>
      </c>
    </row>
    <row r="97" spans="1:32" ht="18.75" hidden="1" customHeight="1">
      <c r="A97" s="5476"/>
      <c r="D97" s="1564"/>
      <c r="E97" s="482" t="str">
        <f>FHD_NUM_P_59</f>
        <v/>
      </c>
      <c r="F97" s="1804" t="str">
        <f>FHD_P_59</f>
        <v/>
      </c>
      <c r="G97" s="1805" t="s">
        <v>613</v>
      </c>
      <c r="H97" s="906"/>
      <c r="I97" s="513"/>
      <c r="J97" s="226" t="str">
        <f>FHD_NOTE_P_59</f>
        <v/>
      </c>
      <c r="K97" s="479"/>
      <c r="AF97" s="1557">
        <v>0</v>
      </c>
    </row>
    <row r="98" spans="1:32" ht="18.75" hidden="1" customHeight="1">
      <c r="A98" s="5476"/>
      <c r="D98" s="1564"/>
      <c r="E98" s="482" t="str">
        <f>FHD_NUM_P_60</f>
        <v/>
      </c>
      <c r="F98" s="1804" t="str">
        <f>FHD_P_60</f>
        <v/>
      </c>
      <c r="G98" s="1805" t="s">
        <v>613</v>
      </c>
      <c r="H98" s="906"/>
      <c r="I98" s="513"/>
      <c r="J98" s="226" t="str">
        <f>FHD_NOTE_P_60</f>
        <v/>
      </c>
      <c r="K98" s="479"/>
      <c r="AF98" s="1557">
        <v>0</v>
      </c>
    </row>
    <row r="99" spans="1:32" s="1292" customFormat="1" ht="18.75" customHeight="1">
      <c r="A99" s="5476" t="s">
        <v>617</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588</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5476"/>
      <c r="D100" s="484"/>
      <c r="E100" s="942" t="str">
        <f>E99&amp;".0"</f>
        <v>7.0</v>
      </c>
      <c r="F100" s="923"/>
      <c r="G100" s="924"/>
      <c r="H100" s="921"/>
      <c r="I100" s="921"/>
      <c r="J100" s="925"/>
      <c r="AF100" s="1562">
        <v>0</v>
      </c>
    </row>
    <row r="101" spans="1:32" ht="15" customHeight="1">
      <c r="A101" s="5476"/>
      <c r="D101" s="1559"/>
      <c r="E101" s="900"/>
      <c r="F101" s="901" t="s">
        <v>618</v>
      </c>
      <c r="G101" s="508"/>
      <c r="H101" s="509"/>
      <c r="I101" s="509"/>
      <c r="J101" s="933" t="s">
        <v>619</v>
      </c>
      <c r="K101" s="479"/>
      <c r="AF101" s="1557">
        <v>0</v>
      </c>
    </row>
    <row r="102" spans="1:32" s="1292" customFormat="1" ht="18.75" customHeight="1">
      <c r="A102" s="5476"/>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588</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5476"/>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615</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5476"/>
      <c r="C104" s="1562" t="s">
        <v>620</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615</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5476"/>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615</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5476"/>
      <c r="C106" s="1562"/>
      <c r="D106" s="1564"/>
      <c r="E106" s="482" t="str">
        <f>FHD_NUM_P_66</f>
        <v>10.1</v>
      </c>
      <c r="F106" s="1450" t="str">
        <f>FHD_P_66</f>
        <v xml:space="preserve">По приборам учёта </v>
      </c>
      <c r="G106" s="1801" t="s">
        <v>615</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5476"/>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615</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5476"/>
      <c r="C108" s="1562"/>
      <c r="D108" s="1564"/>
      <c r="E108" s="482" t="str">
        <f>FHD_NUM_P_68</f>
        <v>10.2</v>
      </c>
      <c r="F108" s="1450" t="str">
        <f>FHD_P_68</f>
        <v>Расчётным путём</v>
      </c>
      <c r="G108" s="1801" t="s">
        <v>615</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5476"/>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615</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5476"/>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621</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5476"/>
      <c r="C111" s="1562"/>
      <c r="D111" s="1564"/>
      <c r="E111" s="482" t="str">
        <f>FHD_NUM_P_71</f>
        <v>12</v>
      </c>
      <c r="F111" s="1804" t="str">
        <f>FHD_P_71</f>
        <v>Фактический объем потерь при передаче тепловой энергии</v>
      </c>
      <c r="G111" s="1801" t="s">
        <v>621</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4" t="str">
        <f>FHD_P_72</f>
        <v>Среднесписочная численность основного производственного персонала</v>
      </c>
      <c r="G112" s="1800" t="s">
        <v>622</v>
      </c>
      <c r="H112" s="513"/>
      <c r="I112" s="513"/>
      <c r="J112" s="226" t="str">
        <f>FHD_NOTE_P_72</f>
        <v/>
      </c>
      <c r="K112" s="479"/>
      <c r="AF112" s="1557">
        <v>19</v>
      </c>
    </row>
    <row r="113" spans="1:32" ht="18.75" customHeight="1">
      <c r="A113" s="918" t="s">
        <v>623</v>
      </c>
      <c r="D113" s="1564"/>
      <c r="E113" s="482" t="str">
        <f>FHD_NUM_P_73</f>
        <v>14</v>
      </c>
      <c r="F113" s="1804" t="str">
        <f>FHD_P_73</f>
        <v>Среднесписочная численность административно-управленческого персонала</v>
      </c>
      <c r="G113" s="899" t="s">
        <v>622</v>
      </c>
      <c r="H113" s="897"/>
      <c r="I113" s="897"/>
      <c r="J113" s="226" t="str">
        <f>FHD_NOTE_P_73</f>
        <v/>
      </c>
      <c r="K113" s="479"/>
      <c r="AF113" s="1557">
        <v>0</v>
      </c>
    </row>
    <row r="114" spans="1:32" ht="33.75" hidden="1" customHeight="1">
      <c r="A114" s="918" t="s">
        <v>624</v>
      </c>
      <c r="D114" s="1564"/>
      <c r="E114" s="482" t="str">
        <f>FHD_NUM_P_74</f>
        <v/>
      </c>
      <c r="F114" s="1804" t="str">
        <f>FHD_P_74</f>
        <v/>
      </c>
      <c r="G114" s="1800" t="s">
        <v>625</v>
      </c>
      <c r="H114" s="513"/>
      <c r="I114" s="513"/>
      <c r="J114" s="226" t="str">
        <f>FHD_NOTE_P_74</f>
        <v/>
      </c>
      <c r="K114" s="479"/>
      <c r="AF114" s="1557">
        <v>0</v>
      </c>
    </row>
    <row r="115" spans="1:32" s="1561" customFormat="1" ht="18.75" hidden="1" customHeight="1">
      <c r="A115" s="5476" t="s">
        <v>626</v>
      </c>
      <c r="B115" s="839"/>
      <c r="C115" s="671"/>
      <c r="D115" s="669"/>
      <c r="E115" s="482" t="str">
        <f>FHD_NUM_P_75</f>
        <v/>
      </c>
      <c r="F115" s="1804" t="str">
        <f>FHD_P_75</f>
        <v/>
      </c>
      <c r="G115" s="1800" t="s">
        <v>590</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5476"/>
      <c r="B116" s="839"/>
      <c r="C116" s="671"/>
      <c r="D116" s="669"/>
      <c r="E116" s="482" t="str">
        <f>FHD_NUM_P_76</f>
        <v/>
      </c>
      <c r="F116" s="1804" t="str">
        <f>FHD_P_76</f>
        <v/>
      </c>
      <c r="G116" s="1800" t="s">
        <v>590</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5476"/>
      <c r="B117" s="839"/>
      <c r="C117" s="671"/>
      <c r="D117" s="669"/>
      <c r="E117" s="482" t="str">
        <f>FHD_NUM_P_77</f>
        <v/>
      </c>
      <c r="F117" s="1804" t="str">
        <f>FHD_P_77</f>
        <v/>
      </c>
      <c r="G117" s="1800" t="s">
        <v>590</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5476"/>
      <c r="D118" s="484"/>
      <c r="E118" s="942" t="str">
        <f>E117&amp;".0"</f>
        <v>.0</v>
      </c>
      <c r="F118" s="926"/>
      <c r="G118" s="1577"/>
      <c r="H118" s="921"/>
      <c r="I118" s="921"/>
      <c r="J118" s="925"/>
      <c r="AF118" s="1562">
        <v>0</v>
      </c>
    </row>
    <row r="119" spans="1:32" s="1561" customFormat="1" ht="15" hidden="1" customHeight="1">
      <c r="A119" s="5476"/>
      <c r="B119" s="839"/>
      <c r="C119" s="671"/>
      <c r="D119" s="682"/>
      <c r="E119" s="902"/>
      <c r="F119" s="903" t="s">
        <v>627</v>
      </c>
      <c r="G119" s="683"/>
      <c r="H119" s="684"/>
      <c r="I119" s="684"/>
      <c r="J119" s="932" t="s">
        <v>628</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5476" t="s">
        <v>629</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592</v>
      </c>
      <c r="H120" s="513"/>
      <c r="I120" s="513"/>
      <c r="J120" s="226" t="str">
        <f>FHD_NOTE_P_78</f>
        <v/>
      </c>
      <c r="K120" s="479"/>
      <c r="AF120" s="1557">
        <v>0</v>
      </c>
    </row>
    <row r="121" spans="1:32" s="1568" customFormat="1" ht="0.75" customHeight="1">
      <c r="A121" s="5476"/>
      <c r="D121" s="484"/>
      <c r="E121" s="942" t="str">
        <f>E120&amp;".0"</f>
        <v>15.0</v>
      </c>
      <c r="F121" s="926"/>
      <c r="G121" s="1577"/>
      <c r="H121" s="921"/>
      <c r="I121" s="921"/>
      <c r="J121" s="925"/>
      <c r="AF121" s="1562">
        <v>0</v>
      </c>
    </row>
    <row r="122" spans="1:32" ht="15" customHeight="1">
      <c r="A122" s="5476"/>
      <c r="D122" s="1559"/>
      <c r="E122" s="506"/>
      <c r="F122" s="1094" t="s">
        <v>618</v>
      </c>
      <c r="G122" s="508"/>
      <c r="H122" s="509"/>
      <c r="I122" s="509"/>
      <c r="J122" s="933" t="s">
        <v>630</v>
      </c>
      <c r="K122" s="479"/>
      <c r="AF122" s="1557">
        <v>0</v>
      </c>
    </row>
    <row r="123" spans="1:32" ht="22.5" customHeight="1">
      <c r="A123" s="5476"/>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594</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5476"/>
      <c r="D124" s="484"/>
      <c r="E124" s="942" t="str">
        <f>E123&amp;".0"</f>
        <v>16.0</v>
      </c>
      <c r="F124" s="927"/>
      <c r="G124" s="1577"/>
      <c r="H124" s="921"/>
      <c r="I124" s="921"/>
      <c r="J124" s="925"/>
      <c r="AF124" s="1562">
        <v>0</v>
      </c>
    </row>
    <row r="125" spans="1:32" ht="15" customHeight="1">
      <c r="A125" s="5476"/>
      <c r="D125" s="1559"/>
      <c r="E125" s="506"/>
      <c r="F125" s="1094" t="s">
        <v>618</v>
      </c>
      <c r="G125" s="508"/>
      <c r="H125" s="509"/>
      <c r="I125" s="509"/>
      <c r="J125" s="933" t="s">
        <v>631</v>
      </c>
      <c r="K125" s="479"/>
      <c r="AF125" s="1557">
        <v>0</v>
      </c>
    </row>
    <row r="126" spans="1:32" ht="22.5" customHeight="1">
      <c r="A126" s="5476"/>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632</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5476"/>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633</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5476"/>
      <c r="C128" s="1562" t="s">
        <v>620</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333</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5476"/>
      <c r="C129" s="1562" t="s">
        <v>620</v>
      </c>
      <c r="D129" s="1564"/>
      <c r="E129" s="482" t="str">
        <f>FHD_NUM_P_83</f>
        <v>19.1</v>
      </c>
      <c r="F129" s="1450" t="str">
        <f>FHD_P_83</f>
        <v>Информация о показателях физического износа объектов теплоснабжения</v>
      </c>
      <c r="G129" s="1802" t="s">
        <v>333</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5476"/>
      <c r="C130" s="1562" t="s">
        <v>620</v>
      </c>
      <c r="D130" s="1564"/>
      <c r="E130" s="482" t="str">
        <f>FHD_NUM_P_84</f>
        <v>19.2</v>
      </c>
      <c r="F130" s="1450" t="str">
        <f>FHD_P_84</f>
        <v>Информация о показателях энергетической эффективности объектов теплоснабжения</v>
      </c>
      <c r="G130" s="1802" t="s">
        <v>333</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84</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4"/>
      <c r="L4" s="104"/>
      <c r="M4" s="104"/>
      <c r="CF4" s="441">
        <v>3</v>
      </c>
    </row>
    <row r="5" spans="1:84" ht="29.25" customHeight="1">
      <c r="C5" s="445"/>
      <c r="D5" s="986"/>
      <c r="E5" s="5359" t="str">
        <f>FHD20_NAME_FORM</f>
        <v>Форма 11. Информация о расходах на капитальный и текущий ремонт основных средств</v>
      </c>
      <c r="F5" s="5359"/>
      <c r="G5" s="5359"/>
      <c r="H5" s="5359"/>
      <c r="I5" s="5359"/>
      <c r="J5" s="5359"/>
      <c r="K5" s="5359"/>
      <c r="L5" s="549"/>
      <c r="M5" s="549"/>
      <c r="CF5" s="441">
        <v>28</v>
      </c>
    </row>
    <row r="6" spans="1:84" s="1561" customFormat="1" ht="16.899999999999999" customHeight="1">
      <c r="A6" s="546"/>
      <c r="B6" s="693"/>
      <c r="C6" s="445"/>
      <c r="D6" s="987"/>
      <c r="E6" s="5331" t="str">
        <f>IF(org=0,"Не определено",org)</f>
        <v>ПАО "ТГК-1" филиал "Невский"</v>
      </c>
      <c r="F6" s="5331"/>
      <c r="G6" s="5331"/>
      <c r="H6" s="5331"/>
      <c r="I6" s="5331"/>
      <c r="J6" s="5331"/>
      <c r="K6" s="5331"/>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5217" t="s">
        <v>327</v>
      </c>
      <c r="F9" s="5222"/>
      <c r="G9" s="5222"/>
      <c r="H9" s="5222"/>
      <c r="I9" s="5222"/>
      <c r="J9" s="5222"/>
      <c r="K9" s="5222"/>
      <c r="L9" s="5222"/>
      <c r="M9" s="5222"/>
      <c r="N9" s="5222"/>
      <c r="O9" s="5222"/>
      <c r="P9" s="5222"/>
      <c r="Q9" s="5222"/>
      <c r="R9" s="5216"/>
      <c r="S9" s="5235" t="s">
        <v>328</v>
      </c>
      <c r="T9" s="271"/>
      <c r="CF9" s="441">
        <v>19</v>
      </c>
    </row>
    <row r="10" spans="1:84" ht="48.2" customHeight="1">
      <c r="D10" s="487" t="s">
        <v>90</v>
      </c>
      <c r="E10" s="5235" t="s">
        <v>90</v>
      </c>
      <c r="F10" s="5235"/>
      <c r="G10" s="457" t="s">
        <v>329</v>
      </c>
      <c r="H10" s="5235" t="s">
        <v>90</v>
      </c>
      <c r="I10" s="5235"/>
      <c r="J10" s="457" t="s">
        <v>634</v>
      </c>
      <c r="K10" s="457" t="s">
        <v>635</v>
      </c>
      <c r="L10" s="5235" t="s">
        <v>90</v>
      </c>
      <c r="M10" s="5235"/>
      <c r="N10" s="457" t="s">
        <v>636</v>
      </c>
      <c r="O10" s="457" t="s">
        <v>637</v>
      </c>
      <c r="P10" s="457" t="s">
        <v>638</v>
      </c>
      <c r="Q10" s="457" t="s">
        <v>639</v>
      </c>
      <c r="R10" s="457" t="s">
        <v>640</v>
      </c>
      <c r="S10" s="5235"/>
      <c r="T10" s="271"/>
      <c r="CF10" s="441">
        <v>46</v>
      </c>
    </row>
    <row r="11" spans="1:84" s="1568" customFormat="1" ht="15" hidden="1" customHeight="1">
      <c r="A11" s="981"/>
      <c r="D11" s="954" t="s">
        <v>111</v>
      </c>
      <c r="E11" s="954"/>
      <c r="F11" s="954" t="s">
        <v>112</v>
      </c>
      <c r="G11" s="954" t="s">
        <v>92</v>
      </c>
      <c r="H11" s="954"/>
      <c r="I11" s="954" t="s">
        <v>93</v>
      </c>
      <c r="J11" s="954" t="s">
        <v>113</v>
      </c>
      <c r="K11" s="954" t="s">
        <v>94</v>
      </c>
      <c r="L11" s="954"/>
      <c r="M11" s="954" t="s">
        <v>95</v>
      </c>
      <c r="N11" s="954" t="s">
        <v>114</v>
      </c>
      <c r="O11" s="954" t="s">
        <v>101</v>
      </c>
      <c r="P11" s="954" t="s">
        <v>150</v>
      </c>
      <c r="Q11" s="954" t="s">
        <v>151</v>
      </c>
      <c r="R11" s="954" t="s">
        <v>152</v>
      </c>
      <c r="S11" s="954" t="s">
        <v>153</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403</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119</v>
      </c>
      <c r="B14" s="560"/>
      <c r="C14" s="560"/>
      <c r="D14" s="5482" t="s">
        <v>111</v>
      </c>
      <c r="E14" s="5489" t="s">
        <v>107</v>
      </c>
      <c r="F14" s="5490"/>
      <c r="G14" s="5491"/>
      <c r="H14" s="5485">
        <f>IF(A14="","",INDEX(DIFFERENTIATION_UNMERGE_VD,MATCH(A14,DIFFERENTIATION_ID_DIFF,0)))</f>
        <v>0</v>
      </c>
      <c r="I14" s="5485"/>
      <c r="J14" s="5485"/>
      <c r="K14" s="5485"/>
      <c r="L14" s="5485"/>
      <c r="M14" s="5485"/>
      <c r="N14" s="5485"/>
      <c r="O14" s="5485"/>
      <c r="P14" s="5485"/>
      <c r="Q14" s="5485"/>
      <c r="R14" s="5485"/>
      <c r="S14" s="655"/>
      <c r="T14" s="652"/>
      <c r="U14" s="561"/>
      <c r="V14" s="561"/>
      <c r="W14" s="562"/>
      <c r="X14" s="562"/>
      <c r="Y14" s="562"/>
      <c r="Z14" s="562"/>
      <c r="AA14" s="563"/>
      <c r="AB14" s="564"/>
      <c r="AC14" s="5488"/>
      <c r="AD14" s="565"/>
      <c r="AE14" s="566" t="s">
        <v>28</v>
      </c>
      <c r="AF14" s="566"/>
      <c r="AG14" s="567" t="s">
        <v>641</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5483"/>
      <c r="E15" s="5489" t="s">
        <v>596</v>
      </c>
      <c r="F15" s="5490"/>
      <c r="G15" s="5491"/>
      <c r="H15" s="5485" t="str">
        <f>IF(A14="","",INDEX(DIFFERENTIATION_UNMERGE_AREA,MATCH(A14,DIFFERENTIATION_ID_DIFF,0)))</f>
        <v/>
      </c>
      <c r="I15" s="5485"/>
      <c r="J15" s="5485"/>
      <c r="K15" s="5485"/>
      <c r="L15" s="5485"/>
      <c r="M15" s="5485"/>
      <c r="N15" s="5485"/>
      <c r="O15" s="5485"/>
      <c r="P15" s="5485"/>
      <c r="Q15" s="5485"/>
      <c r="R15" s="5485"/>
      <c r="S15" s="655"/>
      <c r="T15" s="652"/>
      <c r="U15" s="561"/>
      <c r="V15" s="561"/>
      <c r="W15" s="562"/>
      <c r="X15" s="562"/>
      <c r="Y15" s="562"/>
      <c r="Z15" s="562"/>
      <c r="AA15" s="563"/>
      <c r="AB15" s="564"/>
      <c r="AC15" s="5488"/>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5483"/>
      <c r="E16" s="5489" t="s">
        <v>597</v>
      </c>
      <c r="F16" s="5490"/>
      <c r="G16" s="5491"/>
      <c r="H16" s="5485" t="str">
        <f>IF(A14="","",INDEX(DIFFERENTIATION_UNMERGE_SYSTEM,MATCH(A14,DIFFERENTIATION_ID_DIFF,0)))</f>
        <v>без дифференциации</v>
      </c>
      <c r="I16" s="5485"/>
      <c r="J16" s="5485"/>
      <c r="K16" s="5485"/>
      <c r="L16" s="5485"/>
      <c r="M16" s="5485"/>
      <c r="N16" s="5485"/>
      <c r="O16" s="5485"/>
      <c r="P16" s="5485"/>
      <c r="Q16" s="5485"/>
      <c r="R16" s="5485"/>
      <c r="S16" s="655"/>
      <c r="T16" s="652"/>
      <c r="U16" s="561"/>
      <c r="V16" s="561"/>
      <c r="W16" s="562"/>
      <c r="X16" s="562"/>
      <c r="Y16" s="562"/>
      <c r="Z16" s="562"/>
      <c r="AA16" s="563"/>
      <c r="AB16" s="564"/>
      <c r="AC16" s="5488"/>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5483"/>
      <c r="E17" s="5487" t="s">
        <v>642</v>
      </c>
      <c r="F17" s="5487"/>
      <c r="G17" s="5487"/>
      <c r="H17" s="5487"/>
      <c r="I17" s="5487"/>
      <c r="J17" s="5487"/>
      <c r="K17" s="5487"/>
      <c r="L17" s="5487"/>
      <c r="M17" s="5487"/>
      <c r="N17" s="5487"/>
      <c r="O17" s="5487"/>
      <c r="P17" s="5487"/>
      <c r="Q17" s="494">
        <f>SUMIF(T18:T19,"i",Q18:Q19)</f>
        <v>0</v>
      </c>
      <c r="R17" s="946"/>
      <c r="S17" s="826" t="s">
        <v>643</v>
      </c>
      <c r="T17" s="653" t="s">
        <v>644</v>
      </c>
      <c r="U17" s="5385">
        <v>1</v>
      </c>
      <c r="V17" s="5385" t="str">
        <f>INDEX(B_FHD_FLAG_INDEX_1,1,MATCH(A14,B_FHD_FLAG_DIFFERENTIATION,0))</f>
        <v>отсутствует</v>
      </c>
      <c r="W17" s="353"/>
      <c r="X17" s="353"/>
      <c r="Y17" s="353"/>
      <c r="Z17" s="353"/>
      <c r="AA17" s="447"/>
      <c r="AB17" s="353"/>
      <c r="AC17" s="5488"/>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5483"/>
      <c r="E18" s="571"/>
      <c r="F18" s="571">
        <v>0</v>
      </c>
      <c r="G18" s="571"/>
      <c r="H18" s="571"/>
      <c r="I18" s="571"/>
      <c r="J18" s="571"/>
      <c r="K18" s="571"/>
      <c r="L18" s="571"/>
      <c r="M18" s="571"/>
      <c r="N18" s="571"/>
      <c r="O18" s="571"/>
      <c r="P18" s="571"/>
      <c r="Q18" s="571"/>
      <c r="R18" s="571"/>
      <c r="S18" s="572"/>
      <c r="T18" s="654"/>
      <c r="U18" s="5385"/>
      <c r="V18" s="5385"/>
      <c r="W18" s="447"/>
      <c r="X18" s="447"/>
      <c r="Y18" s="447"/>
      <c r="Z18" s="447"/>
      <c r="AA18" s="447"/>
      <c r="AB18" s="353"/>
      <c r="AC18" s="5488"/>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5483"/>
      <c r="E19" s="585" t="s">
        <v>28</v>
      </c>
      <c r="F19" s="586" t="s">
        <v>28</v>
      </c>
      <c r="G19" s="586" t="s">
        <v>28</v>
      </c>
      <c r="H19" s="587" t="s">
        <v>28</v>
      </c>
      <c r="I19" s="587"/>
      <c r="J19" s="587"/>
      <c r="K19" s="587"/>
      <c r="L19" s="587"/>
      <c r="M19" s="587"/>
      <c r="N19" s="587"/>
      <c r="O19" s="587"/>
      <c r="P19" s="587"/>
      <c r="Q19" s="587"/>
      <c r="R19" s="588"/>
      <c r="S19" s="949"/>
      <c r="T19" s="654"/>
      <c r="U19" s="5385"/>
      <c r="V19" s="5385"/>
      <c r="W19" s="353"/>
      <c r="X19" s="353"/>
      <c r="Y19" s="353"/>
      <c r="Z19" s="353"/>
      <c r="AA19" s="447"/>
      <c r="AB19" s="353"/>
      <c r="AC19" s="5488"/>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5483"/>
      <c r="E20" s="5487" t="s">
        <v>645</v>
      </c>
      <c r="F20" s="5487"/>
      <c r="G20" s="5487"/>
      <c r="H20" s="5487"/>
      <c r="I20" s="5487"/>
      <c r="J20" s="5487"/>
      <c r="K20" s="5487"/>
      <c r="L20" s="5487"/>
      <c r="M20" s="5487"/>
      <c r="N20" s="5487"/>
      <c r="O20" s="5487"/>
      <c r="P20" s="5487"/>
      <c r="Q20" s="494">
        <f>SUMIF(T21:T22,"i",Q21:Q22)</f>
        <v>0</v>
      </c>
      <c r="R20" s="946"/>
      <c r="S20" s="645" t="s">
        <v>646</v>
      </c>
      <c r="T20" s="653" t="s">
        <v>644</v>
      </c>
      <c r="U20" s="5385">
        <v>2</v>
      </c>
      <c r="V20" s="5385"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5483"/>
      <c r="E21" s="571"/>
      <c r="F21" s="571">
        <v>0</v>
      </c>
      <c r="G21" s="571"/>
      <c r="H21" s="571"/>
      <c r="I21" s="571"/>
      <c r="J21" s="571"/>
      <c r="K21" s="571"/>
      <c r="L21" s="571"/>
      <c r="M21" s="571"/>
      <c r="N21" s="571"/>
      <c r="O21" s="571"/>
      <c r="P21" s="571"/>
      <c r="Q21" s="571"/>
      <c r="R21" s="571"/>
      <c r="S21" s="572"/>
      <c r="T21" s="654"/>
      <c r="U21" s="5385"/>
      <c r="V21" s="5385"/>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5484"/>
      <c r="E22" s="585" t="s">
        <v>28</v>
      </c>
      <c r="F22" s="586" t="s">
        <v>28</v>
      </c>
      <c r="G22" s="586" t="s">
        <v>28</v>
      </c>
      <c r="H22" s="587" t="s">
        <v>28</v>
      </c>
      <c r="I22" s="587"/>
      <c r="J22" s="587"/>
      <c r="K22" s="587"/>
      <c r="L22" s="587"/>
      <c r="M22" s="587"/>
      <c r="N22" s="587"/>
      <c r="O22" s="587"/>
      <c r="P22" s="587"/>
      <c r="Q22" s="587"/>
      <c r="R22" s="588"/>
      <c r="S22" s="949"/>
      <c r="T22" s="654"/>
      <c r="U22" s="5385"/>
      <c r="V22" s="5385"/>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5486"/>
      <c r="F27" s="5486"/>
      <c r="G27" s="5486"/>
      <c r="H27" s="5486"/>
      <c r="I27" s="5486"/>
      <c r="J27" s="5486"/>
      <c r="K27" s="5486"/>
      <c r="L27" s="5486"/>
      <c r="M27" s="5486"/>
      <c r="N27" s="5486"/>
      <c r="O27" s="5486"/>
      <c r="P27" s="5486"/>
      <c r="Q27" s="5486"/>
      <c r="R27" s="5486"/>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4" t="s">
        <v>647</v>
      </c>
      <c r="C2" s="1974" t="s">
        <v>648</v>
      </c>
      <c r="D2" s="1973" t="s">
        <v>649</v>
      </c>
      <c r="E2" s="1977" t="e">
        <f>RIGHT(I2,LEN(I2)-SEARCH("#",SUBSTITUTE(I2,".","#",LEN(I2)-LEN(SUBSTITUTE(I2,".","")))))</f>
        <v>#VALUE!</v>
      </c>
      <c r="F2" s="1979">
        <f>J2</f>
        <v>0</v>
      </c>
      <c r="G2" s="1562"/>
      <c r="H2" s="1980"/>
      <c r="I2" s="1970"/>
      <c r="J2" s="476"/>
      <c r="K2" s="1940" t="s">
        <v>588</v>
      </c>
      <c r="L2" s="687"/>
      <c r="M2" s="687"/>
      <c r="N2" s="479"/>
      <c r="O2" s="1451" t="s">
        <v>589</v>
      </c>
      <c r="P2" s="479"/>
      <c r="Q2" s="1562"/>
      <c r="R2" s="1562"/>
      <c r="W2" s="1562"/>
      <c r="Z2" s="480"/>
      <c r="AF2" s="1558"/>
      <c r="AG2" s="1558"/>
      <c r="AH2" s="1558"/>
      <c r="AI2" s="1558"/>
      <c r="AJ2" s="1558"/>
      <c r="AK2" s="1292">
        <v>0</v>
      </c>
    </row>
    <row r="3" spans="1:37" ht="11.25" hidden="1" customHeight="1">
      <c r="E3" s="1972" t="s">
        <v>650</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5310" t="s">
        <v>651</v>
      </c>
      <c r="J6" s="5310"/>
      <c r="K6" s="5310"/>
      <c r="L6" s="5310"/>
      <c r="M6" s="5310"/>
      <c r="O6" s="492"/>
      <c r="AK6" s="1557">
        <v>55</v>
      </c>
    </row>
    <row r="7" spans="1:37" ht="25.15" customHeight="1">
      <c r="I7" s="5331" t="str">
        <f>IF(org=0,"Не определено",org)</f>
        <v>ПАО "ТГК-1" филиал "Невский"</v>
      </c>
      <c r="J7" s="5331"/>
      <c r="K7" s="5331"/>
      <c r="L7" s="5331"/>
      <c r="M7" s="5331"/>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119</v>
      </c>
      <c r="AK9" s="1562">
        <v>1</v>
      </c>
    </row>
    <row r="10" spans="1:37" ht="11.45" customHeight="1">
      <c r="E10" s="1971" t="s">
        <v>652</v>
      </c>
      <c r="I10" s="647"/>
      <c r="J10" s="5478" t="s">
        <v>107</v>
      </c>
      <c r="K10" s="5479"/>
      <c r="L10" s="1950" t="str">
        <f>IF(L9="","",INDEX(DIFFERENTIATION_UNMERGE_VD,MATCH(L9,DIFFERENTIATION_ID_DIFF,0)))</f>
        <v/>
      </c>
      <c r="M10" s="1950">
        <f>IF(M9="","",INDEX(DIFFERENTIATION_UNMERGE_VD,MATCH(M9,DIFFERENTIATION_ID_DIFF,0)))</f>
        <v>0</v>
      </c>
      <c r="O10" s="5235" t="s">
        <v>328</v>
      </c>
      <c r="AK10" s="1557">
        <v>11</v>
      </c>
    </row>
    <row r="11" spans="1:37" ht="11.45" customHeight="1">
      <c r="E11" s="1971" t="s">
        <v>653</v>
      </c>
      <c r="I11" s="647"/>
      <c r="J11" s="5478" t="s">
        <v>596</v>
      </c>
      <c r="K11" s="5479"/>
      <c r="L11" s="1950" t="str">
        <f>IF(L9="","",INDEX(DIFFERENTIATION_UNMERGE_AREA,MATCH(L9,DIFFERENTIATION_ID_DIFF,0)))</f>
        <v/>
      </c>
      <c r="M11" s="1950" t="str">
        <f>IF(M9="","",INDEX(DIFFERENTIATION_UNMERGE_AREA,MATCH(M9,DIFFERENTIATION_ID_DIFF,0)))</f>
        <v/>
      </c>
      <c r="O11" s="5235"/>
      <c r="AK11" s="1557">
        <v>11</v>
      </c>
    </row>
    <row r="12" spans="1:37" ht="11.45" customHeight="1">
      <c r="E12" s="1971" t="s">
        <v>654</v>
      </c>
      <c r="I12" s="1588"/>
      <c r="J12" s="5478" t="s">
        <v>597</v>
      </c>
      <c r="K12" s="5479"/>
      <c r="L12" s="1950" t="str">
        <f>IF(L9="","",INDEX(DIFFERENTIATION_UNMERGE_SYSTEM,MATCH(L9,DIFFERENTIATION_ID_DIFF,0)))</f>
        <v/>
      </c>
      <c r="M12" s="1950" t="str">
        <f>IF(M9="","",INDEX(DIFFERENTIATION_UNMERGE_SYSTEM,MATCH(M9,DIFFERENTIATION_ID_DIFF,0)))</f>
        <v>без дифференциации</v>
      </c>
      <c r="O12" s="5235"/>
      <c r="AK12" s="1557">
        <v>11</v>
      </c>
    </row>
    <row r="13" spans="1:37" ht="11.45" customHeight="1">
      <c r="E13" s="1971" t="s">
        <v>655</v>
      </c>
      <c r="F13" s="1971" t="s">
        <v>656</v>
      </c>
      <c r="I13" s="5480" t="s">
        <v>327</v>
      </c>
      <c r="J13" s="5481"/>
      <c r="K13" s="5481"/>
      <c r="L13" s="1948"/>
      <c r="M13" s="1988"/>
      <c r="O13" s="5235"/>
      <c r="AK13" s="1557">
        <v>11</v>
      </c>
    </row>
    <row r="14" spans="1:37" ht="24" customHeight="1">
      <c r="I14" s="1941" t="s">
        <v>90</v>
      </c>
      <c r="J14" s="1941" t="s">
        <v>329</v>
      </c>
      <c r="K14" s="1941" t="s">
        <v>598</v>
      </c>
      <c r="L14" s="1981" t="s">
        <v>330</v>
      </c>
      <c r="M14" s="1982" t="s">
        <v>330</v>
      </c>
      <c r="O14" s="5235"/>
      <c r="AK14" s="1557">
        <v>23</v>
      </c>
    </row>
    <row r="15" spans="1:37" ht="24" customHeight="1">
      <c r="A15" s="1975"/>
      <c r="B15" s="1974" t="s">
        <v>657</v>
      </c>
      <c r="C15" s="1974" t="s">
        <v>658</v>
      </c>
      <c r="D15" s="1973" t="s">
        <v>659</v>
      </c>
      <c r="E15" s="1977" t="s">
        <v>660</v>
      </c>
      <c r="F15" s="1977" t="s">
        <v>660</v>
      </c>
      <c r="G15" s="1562" t="s">
        <v>620</v>
      </c>
      <c r="H15" s="1942"/>
      <c r="I15" s="1556">
        <v>1</v>
      </c>
      <c r="J15" s="1943" t="s">
        <v>661</v>
      </c>
      <c r="K15" s="1941" t="s">
        <v>333</v>
      </c>
      <c r="L15" s="598"/>
      <c r="M15" s="748"/>
      <c r="N15" s="479" t="s">
        <v>662</v>
      </c>
      <c r="O15" s="1451" t="s">
        <v>663</v>
      </c>
      <c r="P15" s="479" t="s">
        <v>662</v>
      </c>
      <c r="AK15" s="1557">
        <v>23</v>
      </c>
    </row>
    <row r="16" spans="1:37" ht="35.65" customHeight="1">
      <c r="A16" s="1975"/>
      <c r="B16" s="1974" t="s">
        <v>664</v>
      </c>
      <c r="C16" s="1974" t="s">
        <v>665</v>
      </c>
      <c r="D16" s="1973" t="s">
        <v>649</v>
      </c>
      <c r="E16" s="1977" t="s">
        <v>660</v>
      </c>
      <c r="F16" s="1977" t="s">
        <v>660</v>
      </c>
      <c r="H16" s="1942"/>
      <c r="I16" s="1555">
        <v>2</v>
      </c>
      <c r="J16" s="1984" t="s">
        <v>666</v>
      </c>
      <c r="K16" s="1983" t="s">
        <v>588</v>
      </c>
      <c r="L16" s="1989"/>
      <c r="M16" s="1602"/>
      <c r="N16" s="479" t="s">
        <v>662</v>
      </c>
      <c r="O16" s="1451" t="s">
        <v>667</v>
      </c>
      <c r="P16" s="479" t="s">
        <v>662</v>
      </c>
      <c r="AK16" s="1557">
        <v>34</v>
      </c>
    </row>
    <row r="17" spans="1:37" s="1568" customFormat="1" ht="17.25" hidden="1" customHeight="1">
      <c r="A17" s="1093"/>
      <c r="B17" s="1093"/>
      <c r="C17" s="1093"/>
      <c r="D17" s="1093"/>
      <c r="E17" s="1093"/>
      <c r="H17" s="1250"/>
      <c r="I17" s="942" t="s">
        <v>668</v>
      </c>
      <c r="J17" s="920"/>
      <c r="K17" s="942"/>
      <c r="L17" s="921"/>
      <c r="M17" s="921"/>
      <c r="O17" s="1311"/>
      <c r="AK17" s="1562">
        <v>1</v>
      </c>
    </row>
    <row r="18" spans="1:37" s="1292" customFormat="1" ht="24" customHeight="1">
      <c r="A18" s="916"/>
      <c r="B18" s="916"/>
      <c r="C18" s="916"/>
      <c r="D18" s="916"/>
      <c r="E18" s="916"/>
      <c r="G18" s="1562"/>
      <c r="H18" s="1559"/>
      <c r="I18" s="506"/>
      <c r="J18" s="507" t="s">
        <v>618</v>
      </c>
      <c r="K18" s="508"/>
      <c r="L18" s="1991"/>
      <c r="M18" s="509"/>
      <c r="N18" s="479"/>
      <c r="O18" s="1451" t="s">
        <v>619</v>
      </c>
      <c r="P18" s="479"/>
      <c r="Q18" s="1562"/>
      <c r="R18" s="1562"/>
      <c r="W18" s="1562"/>
      <c r="Z18" s="480"/>
      <c r="AF18" s="1558"/>
      <c r="AG18" s="1558"/>
      <c r="AH18" s="1558"/>
      <c r="AI18" s="1558"/>
      <c r="AJ18" s="1558"/>
      <c r="AK18" s="1292">
        <v>23</v>
      </c>
    </row>
    <row r="19" spans="1:37" ht="19.899999999999999" customHeight="1">
      <c r="A19" s="1975"/>
      <c r="B19" s="1974" t="s">
        <v>669</v>
      </c>
      <c r="C19" s="1974" t="s">
        <v>670</v>
      </c>
      <c r="D19" s="1973" t="s">
        <v>649</v>
      </c>
      <c r="E19" s="1977" t="s">
        <v>660</v>
      </c>
      <c r="F19" s="1977" t="s">
        <v>660</v>
      </c>
      <c r="H19" s="1942"/>
      <c r="I19" s="1590">
        <v>3</v>
      </c>
      <c r="J19" s="1943" t="s">
        <v>670</v>
      </c>
      <c r="K19" s="1939" t="s">
        <v>588</v>
      </c>
      <c r="L19" s="663"/>
      <c r="M19" s="493"/>
      <c r="N19" s="479"/>
      <c r="O19" s="1451" t="s">
        <v>671</v>
      </c>
      <c r="P19" s="479"/>
      <c r="AK19" s="1557">
        <v>19</v>
      </c>
    </row>
    <row r="20" spans="1:37" ht="77.650000000000006" customHeight="1">
      <c r="A20" s="1975"/>
      <c r="B20" s="1974" t="s">
        <v>672</v>
      </c>
      <c r="C20" s="1974" t="s">
        <v>673</v>
      </c>
      <c r="D20" s="1973" t="s">
        <v>649</v>
      </c>
      <c r="E20" s="1977" t="s">
        <v>660</v>
      </c>
      <c r="F20" s="1977" t="s">
        <v>660</v>
      </c>
      <c r="H20" s="1942"/>
      <c r="I20" s="1590">
        <v>4</v>
      </c>
      <c r="J20" s="1943" t="s">
        <v>674</v>
      </c>
      <c r="K20" s="1939" t="s">
        <v>615</v>
      </c>
      <c r="L20" s="663"/>
      <c r="M20" s="493"/>
      <c r="N20" s="479"/>
      <c r="O20" s="1451"/>
      <c r="P20" s="479"/>
      <c r="AK20" s="1557">
        <v>74</v>
      </c>
    </row>
    <row r="21" spans="1:37" ht="35.65" customHeight="1">
      <c r="A21" s="1975"/>
      <c r="B21" s="1974" t="s">
        <v>675</v>
      </c>
      <c r="C21" s="1974" t="s">
        <v>676</v>
      </c>
      <c r="D21" s="1973" t="s">
        <v>649</v>
      </c>
      <c r="E21" s="1977" t="s">
        <v>660</v>
      </c>
      <c r="F21" s="1977" t="s">
        <v>660</v>
      </c>
      <c r="H21" s="1942"/>
      <c r="I21" s="1590">
        <v>5</v>
      </c>
      <c r="J21" s="1943" t="s">
        <v>677</v>
      </c>
      <c r="K21" s="1939" t="s">
        <v>615</v>
      </c>
      <c r="L21" s="663"/>
      <c r="M21" s="493"/>
      <c r="N21" s="479"/>
      <c r="O21" s="1451" t="s">
        <v>671</v>
      </c>
      <c r="P21" s="479"/>
      <c r="AK21" s="1557">
        <v>34</v>
      </c>
    </row>
    <row r="22" spans="1:37" ht="48.2" customHeight="1">
      <c r="A22" s="1975"/>
      <c r="B22" s="1974" t="s">
        <v>678</v>
      </c>
      <c r="C22" s="1974" t="s">
        <v>679</v>
      </c>
      <c r="D22" s="1973" t="s">
        <v>649</v>
      </c>
      <c r="E22" s="1977" t="s">
        <v>660</v>
      </c>
      <c r="F22" s="1977" t="s">
        <v>660</v>
      </c>
      <c r="H22" s="1942"/>
      <c r="I22" s="1590">
        <v>6</v>
      </c>
      <c r="J22" s="1943" t="s">
        <v>680</v>
      </c>
      <c r="K22" s="1939" t="s">
        <v>615</v>
      </c>
      <c r="L22" s="663"/>
      <c r="M22" s="493"/>
      <c r="N22" s="479"/>
      <c r="O22" s="1451" t="s">
        <v>681</v>
      </c>
      <c r="P22" s="479"/>
      <c r="AK22" s="1557">
        <v>46</v>
      </c>
    </row>
    <row r="23" spans="1:37" ht="19.899999999999999" customHeight="1">
      <c r="A23" s="1975"/>
      <c r="B23" s="1974" t="s">
        <v>682</v>
      </c>
      <c r="C23" s="1974" t="s">
        <v>683</v>
      </c>
      <c r="D23" s="1973" t="s">
        <v>649</v>
      </c>
      <c r="E23" s="1977" t="s">
        <v>660</v>
      </c>
      <c r="F23" s="1977" t="s">
        <v>660</v>
      </c>
      <c r="H23" s="1942"/>
      <c r="I23" s="1590" t="s">
        <v>684</v>
      </c>
      <c r="J23" s="1450" t="s">
        <v>685</v>
      </c>
      <c r="K23" s="1939" t="s">
        <v>615</v>
      </c>
      <c r="L23" s="663"/>
      <c r="M23" s="493"/>
      <c r="N23" s="479"/>
      <c r="O23" s="1451" t="s">
        <v>671</v>
      </c>
      <c r="P23" s="479"/>
      <c r="AK23" s="1557">
        <v>19</v>
      </c>
    </row>
    <row r="24" spans="1:37" ht="19.899999999999999" customHeight="1">
      <c r="A24" s="1975"/>
      <c r="B24" s="1974" t="s">
        <v>686</v>
      </c>
      <c r="C24" s="1974" t="s">
        <v>687</v>
      </c>
      <c r="D24" s="1973" t="s">
        <v>649</v>
      </c>
      <c r="E24" s="1977" t="s">
        <v>660</v>
      </c>
      <c r="F24" s="1977" t="s">
        <v>660</v>
      </c>
      <c r="H24" s="1942"/>
      <c r="I24" s="1590" t="s">
        <v>688</v>
      </c>
      <c r="J24" s="1450" t="s">
        <v>689</v>
      </c>
      <c r="K24" s="1939" t="s">
        <v>615</v>
      </c>
      <c r="L24" s="663"/>
      <c r="M24" s="493"/>
      <c r="N24" s="479"/>
      <c r="O24" s="1451"/>
      <c r="P24" s="479"/>
      <c r="AK24" s="1557">
        <v>19</v>
      </c>
    </row>
    <row r="25" spans="1:37" ht="24" customHeight="1">
      <c r="A25" s="1975"/>
      <c r="B25" s="1974" t="s">
        <v>690</v>
      </c>
      <c r="C25" s="1974" t="s">
        <v>691</v>
      </c>
      <c r="D25" s="1973" t="s">
        <v>649</v>
      </c>
      <c r="E25" s="1977" t="s">
        <v>660</v>
      </c>
      <c r="F25" s="1977" t="s">
        <v>660</v>
      </c>
      <c r="H25" s="1942"/>
      <c r="I25" s="1590" t="s">
        <v>692</v>
      </c>
      <c r="J25" s="1450" t="s">
        <v>693</v>
      </c>
      <c r="K25" s="1939" t="s">
        <v>615</v>
      </c>
      <c r="L25" s="663"/>
      <c r="M25" s="493"/>
      <c r="N25" s="479"/>
      <c r="O25" s="1451"/>
      <c r="P25" s="479"/>
      <c r="AK25" s="1557">
        <v>23</v>
      </c>
    </row>
    <row r="26" spans="1:37" ht="24" customHeight="1">
      <c r="A26" s="1975"/>
      <c r="B26" s="1974" t="s">
        <v>694</v>
      </c>
      <c r="C26" s="1974" t="s">
        <v>695</v>
      </c>
      <c r="D26" s="1973" t="s">
        <v>649</v>
      </c>
      <c r="E26" s="1977" t="s">
        <v>660</v>
      </c>
      <c r="F26" s="1977" t="s">
        <v>660</v>
      </c>
      <c r="H26" s="1942"/>
      <c r="I26" s="1590">
        <v>7</v>
      </c>
      <c r="J26" s="1943" t="s">
        <v>695</v>
      </c>
      <c r="K26" s="1939" t="s">
        <v>696</v>
      </c>
      <c r="L26" s="663"/>
      <c r="M26" s="493"/>
      <c r="N26" s="479"/>
      <c r="O26" s="1451"/>
      <c r="P26" s="479"/>
      <c r="AK26" s="1557">
        <v>23</v>
      </c>
    </row>
    <row r="27" spans="1:37" ht="24" customHeight="1">
      <c r="A27" s="1975"/>
      <c r="B27" s="1974" t="s">
        <v>697</v>
      </c>
      <c r="C27" s="1974" t="s">
        <v>698</v>
      </c>
      <c r="D27" s="1973" t="s">
        <v>649</v>
      </c>
      <c r="E27" s="1977" t="s">
        <v>660</v>
      </c>
      <c r="F27" s="1977" t="s">
        <v>660</v>
      </c>
      <c r="H27" s="1942"/>
      <c r="I27" s="1590">
        <v>8</v>
      </c>
      <c r="J27" s="1943" t="s">
        <v>698</v>
      </c>
      <c r="K27" s="1939" t="s">
        <v>621</v>
      </c>
      <c r="L27" s="663"/>
      <c r="M27" s="493"/>
      <c r="N27" s="479"/>
      <c r="O27" s="1451"/>
      <c r="P27" s="479"/>
      <c r="AK27" s="1557">
        <v>23</v>
      </c>
    </row>
    <row r="28" spans="1:37" ht="35.65" customHeight="1">
      <c r="A28" s="1975"/>
      <c r="B28" s="1974" t="s">
        <v>699</v>
      </c>
      <c r="C28" s="1974" t="s">
        <v>700</v>
      </c>
      <c r="D28" s="1973" t="s">
        <v>649</v>
      </c>
      <c r="E28" s="1977" t="s">
        <v>660</v>
      </c>
      <c r="F28" s="1977" t="s">
        <v>660</v>
      </c>
      <c r="H28" s="1942"/>
      <c r="I28" s="1601">
        <v>9</v>
      </c>
      <c r="J28" s="1943" t="s">
        <v>701</v>
      </c>
      <c r="K28" s="1939" t="s">
        <v>592</v>
      </c>
      <c r="L28" s="663"/>
      <c r="M28" s="493"/>
      <c r="N28" s="479"/>
      <c r="O28" s="1451"/>
      <c r="P28" s="479"/>
      <c r="AK28" s="1557">
        <v>34</v>
      </c>
    </row>
    <row r="29" spans="1:37" ht="35.65" customHeight="1">
      <c r="A29" s="1975"/>
      <c r="B29" s="1974" t="s">
        <v>702</v>
      </c>
      <c r="C29" s="1974" t="s">
        <v>703</v>
      </c>
      <c r="D29" s="1973" t="s">
        <v>649</v>
      </c>
      <c r="E29" s="1977" t="s">
        <v>660</v>
      </c>
      <c r="F29" s="1977" t="s">
        <v>660</v>
      </c>
      <c r="H29" s="1942"/>
      <c r="I29" s="1601">
        <v>10</v>
      </c>
      <c r="J29" s="1943" t="s">
        <v>704</v>
      </c>
      <c r="K29" s="1939" t="s">
        <v>592</v>
      </c>
      <c r="L29" s="663"/>
      <c r="M29" s="493"/>
      <c r="N29" s="479"/>
      <c r="O29" s="1451"/>
      <c r="P29" s="479"/>
      <c r="AK29" s="1557">
        <v>34</v>
      </c>
    </row>
    <row r="30" spans="1:37" ht="24" customHeight="1">
      <c r="A30" s="1975"/>
      <c r="B30" s="1974" t="s">
        <v>705</v>
      </c>
      <c r="C30" s="1974" t="s">
        <v>706</v>
      </c>
      <c r="D30" s="1973" t="s">
        <v>649</v>
      </c>
      <c r="E30" s="1977" t="s">
        <v>660</v>
      </c>
      <c r="F30" s="1977" t="s">
        <v>660</v>
      </c>
      <c r="H30" s="1942"/>
      <c r="I30" s="1601">
        <v>11</v>
      </c>
      <c r="J30" s="1943" t="s">
        <v>706</v>
      </c>
      <c r="K30" s="1939" t="s">
        <v>622</v>
      </c>
      <c r="L30" s="1990"/>
      <c r="M30" s="1547"/>
      <c r="N30" s="479"/>
      <c r="O30" s="1451"/>
      <c r="P30" s="479"/>
      <c r="AK30" s="1557">
        <v>23</v>
      </c>
    </row>
    <row r="31" spans="1:37" ht="24" customHeight="1">
      <c r="A31" s="1975"/>
      <c r="B31" s="1974" t="s">
        <v>707</v>
      </c>
      <c r="C31" s="1974" t="s">
        <v>708</v>
      </c>
      <c r="D31" s="1973" t="s">
        <v>649</v>
      </c>
      <c r="E31" s="1977" t="s">
        <v>660</v>
      </c>
      <c r="F31" s="1977" t="s">
        <v>660</v>
      </c>
      <c r="H31" s="1942"/>
      <c r="I31" s="1601">
        <v>12</v>
      </c>
      <c r="J31" s="1943" t="s">
        <v>708</v>
      </c>
      <c r="K31" s="1939" t="s">
        <v>622</v>
      </c>
      <c r="L31" s="1990"/>
      <c r="M31" s="1547"/>
      <c r="N31" s="479"/>
      <c r="O31" s="1451"/>
      <c r="P31" s="479"/>
      <c r="AK31" s="1557">
        <v>23</v>
      </c>
    </row>
    <row r="32" spans="1:37" ht="48.2" customHeight="1">
      <c r="A32" s="1975"/>
      <c r="B32" s="1974" t="s">
        <v>709</v>
      </c>
      <c r="C32" s="1974" t="s">
        <v>710</v>
      </c>
      <c r="D32" s="1973" t="s">
        <v>649</v>
      </c>
      <c r="E32" s="1977" t="s">
        <v>660</v>
      </c>
      <c r="F32" s="1977" t="s">
        <v>660</v>
      </c>
      <c r="H32" s="1942"/>
      <c r="I32" s="1601">
        <v>13</v>
      </c>
      <c r="J32" s="1943" t="s">
        <v>711</v>
      </c>
      <c r="K32" s="1939" t="s">
        <v>632</v>
      </c>
      <c r="L32" s="663"/>
      <c r="M32" s="493"/>
      <c r="N32" s="479"/>
      <c r="O32" s="1451" t="s">
        <v>671</v>
      </c>
      <c r="P32" s="479"/>
      <c r="AK32" s="1557">
        <v>46</v>
      </c>
    </row>
    <row r="33" spans="1:37" s="1292" customFormat="1" ht="48.2" customHeight="1">
      <c r="A33" s="1975"/>
      <c r="B33" s="1974" t="s">
        <v>712</v>
      </c>
      <c r="C33" s="1974" t="s">
        <v>713</v>
      </c>
      <c r="D33" s="1973" t="s">
        <v>649</v>
      </c>
      <c r="E33" s="1977" t="s">
        <v>660</v>
      </c>
      <c r="F33" s="1977" t="s">
        <v>660</v>
      </c>
      <c r="G33" s="1562"/>
      <c r="H33" s="1942"/>
      <c r="I33" s="1601">
        <v>14</v>
      </c>
      <c r="J33" s="1955" t="s">
        <v>714</v>
      </c>
      <c r="K33" s="1944" t="s">
        <v>715</v>
      </c>
      <c r="L33" s="663"/>
      <c r="M33" s="493"/>
      <c r="N33" s="479"/>
      <c r="O33" s="1451" t="s">
        <v>671</v>
      </c>
      <c r="P33" s="479"/>
      <c r="Q33" s="1562"/>
      <c r="R33" s="1562"/>
      <c r="W33" s="1562"/>
      <c r="Z33" s="480"/>
      <c r="AF33" s="1558"/>
      <c r="AG33" s="1558"/>
      <c r="AH33" s="1558"/>
      <c r="AI33" s="1558"/>
      <c r="AJ33" s="1558"/>
      <c r="AK33" s="1292">
        <v>46</v>
      </c>
    </row>
    <row r="34" spans="1:37" ht="108" customHeight="1">
      <c r="A34" s="1975"/>
      <c r="B34" s="1974" t="s">
        <v>716</v>
      </c>
      <c r="C34" s="1974" t="s">
        <v>717</v>
      </c>
      <c r="D34" s="1973" t="s">
        <v>659</v>
      </c>
      <c r="E34" s="1977" t="s">
        <v>660</v>
      </c>
      <c r="F34" s="1977" t="s">
        <v>660</v>
      </c>
      <c r="G34" s="1562" t="s">
        <v>620</v>
      </c>
      <c r="H34" s="1942"/>
      <c r="I34" s="1953">
        <v>15</v>
      </c>
      <c r="J34" s="1954" t="s">
        <v>718</v>
      </c>
      <c r="K34" s="1939" t="s">
        <v>333</v>
      </c>
      <c r="L34" s="321"/>
      <c r="M34" s="1090"/>
      <c r="N34" s="479"/>
      <c r="O34" s="1451" t="s">
        <v>663</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84</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5"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719</v>
      </c>
      <c r="C2" s="1974" t="s">
        <v>720</v>
      </c>
      <c r="D2" s="1973" t="s">
        <v>659</v>
      </c>
      <c r="E2" s="1979">
        <f>I2-3</f>
        <v>-3</v>
      </c>
      <c r="F2" s="1979">
        <f>J2</f>
        <v>0</v>
      </c>
      <c r="H2" s="1655" t="s">
        <v>166</v>
      </c>
      <c r="I2" s="1945"/>
      <c r="J2" s="1608"/>
      <c r="K2" s="1939" t="s">
        <v>333</v>
      </c>
      <c r="L2" s="1090"/>
      <c r="M2" s="234"/>
      <c r="N2" s="1550"/>
      <c r="P2" s="1557"/>
      <c r="W2" s="1557">
        <v>0</v>
      </c>
    </row>
    <row r="3" spans="1:23" ht="14.25" hidden="1" customHeight="1">
      <c r="W3" s="1557">
        <v>0</v>
      </c>
    </row>
    <row r="4" spans="1:23" ht="6.4" customHeight="1">
      <c r="H4" s="312"/>
      <c r="I4" s="393"/>
      <c r="J4" s="393"/>
      <c r="K4" s="393"/>
      <c r="L4" s="25"/>
      <c r="M4" s="25"/>
      <c r="W4" s="1557">
        <v>6</v>
      </c>
    </row>
    <row r="5" spans="1:23" ht="50.25" customHeight="1">
      <c r="H5" s="312"/>
      <c r="I5" s="5359" t="s">
        <v>721</v>
      </c>
      <c r="J5" s="5359"/>
      <c r="K5" s="5359"/>
      <c r="L5" s="5359"/>
      <c r="M5" s="203"/>
      <c r="W5" s="1557">
        <v>48</v>
      </c>
    </row>
    <row r="6" spans="1:23" ht="18" customHeight="1">
      <c r="H6" s="312"/>
      <c r="I6" s="5331" t="str">
        <f>IF(org=0,"Не определено",org)</f>
        <v>ПАО "ТГК-1" филиал "Невский"</v>
      </c>
      <c r="J6" s="5331"/>
      <c r="K6" s="5331"/>
      <c r="L6" s="5331"/>
      <c r="M6" s="203"/>
      <c r="W6" s="1557">
        <v>17</v>
      </c>
    </row>
    <row r="7" spans="1:23" ht="14.65" customHeight="1">
      <c r="H7" s="312"/>
      <c r="I7" s="393"/>
      <c r="J7" s="399"/>
      <c r="K7" s="399"/>
      <c r="L7" s="688"/>
      <c r="M7" s="131"/>
      <c r="W7" s="1557">
        <v>14</v>
      </c>
    </row>
    <row r="8" spans="1:23" ht="14.65" customHeight="1">
      <c r="H8" s="312"/>
      <c r="I8" s="5492" t="s">
        <v>327</v>
      </c>
      <c r="J8" s="5493"/>
      <c r="K8" s="5493"/>
      <c r="L8" s="5494"/>
      <c r="M8" s="5495" t="s">
        <v>328</v>
      </c>
      <c r="W8" s="1557">
        <v>14</v>
      </c>
    </row>
    <row r="9" spans="1:23" ht="35.65" customHeight="1">
      <c r="E9" s="1972" t="s">
        <v>650</v>
      </c>
      <c r="F9" s="1972" t="s">
        <v>656</v>
      </c>
      <c r="H9" s="312"/>
      <c r="I9" s="1946" t="s">
        <v>90</v>
      </c>
      <c r="J9" s="1947" t="s">
        <v>329</v>
      </c>
      <c r="K9" s="1985" t="s">
        <v>598</v>
      </c>
      <c r="L9" s="1986" t="s">
        <v>330</v>
      </c>
      <c r="M9" s="5495"/>
      <c r="W9" s="1557">
        <v>34</v>
      </c>
    </row>
    <row r="10" spans="1:23" ht="35.65" customHeight="1">
      <c r="B10" s="1974" t="s">
        <v>722</v>
      </c>
      <c r="C10" s="1974" t="s">
        <v>723</v>
      </c>
      <c r="D10" s="1973" t="s">
        <v>659</v>
      </c>
      <c r="E10" s="1977" t="s">
        <v>660</v>
      </c>
      <c r="F10" s="1977" t="s">
        <v>660</v>
      </c>
      <c r="H10" s="312"/>
      <c r="I10" s="1945" t="s">
        <v>111</v>
      </c>
      <c r="J10" s="1810" t="s">
        <v>724</v>
      </c>
      <c r="K10" s="1939" t="s">
        <v>333</v>
      </c>
      <c r="L10" s="748"/>
      <c r="M10" s="234" t="s">
        <v>725</v>
      </c>
      <c r="W10" s="1557">
        <v>34</v>
      </c>
    </row>
    <row r="11" spans="1:23" ht="50.25" customHeight="1">
      <c r="B11" s="1974" t="s">
        <v>726</v>
      </c>
      <c r="C11" s="1974" t="s">
        <v>727</v>
      </c>
      <c r="D11" s="1973" t="s">
        <v>659</v>
      </c>
      <c r="E11" s="1977" t="s">
        <v>660</v>
      </c>
      <c r="F11" s="1977" t="s">
        <v>660</v>
      </c>
      <c r="H11" s="312"/>
      <c r="I11" s="1945" t="s">
        <v>112</v>
      </c>
      <c r="J11" s="1810" t="s">
        <v>728</v>
      </c>
      <c r="K11" s="1939" t="s">
        <v>333</v>
      </c>
      <c r="L11" s="748"/>
      <c r="M11" s="234" t="s">
        <v>725</v>
      </c>
      <c r="W11" s="1557">
        <v>48</v>
      </c>
    </row>
    <row r="12" spans="1:23" ht="48.2" customHeight="1">
      <c r="B12" s="1974" t="s">
        <v>729</v>
      </c>
      <c r="C12" s="1974" t="s">
        <v>730</v>
      </c>
      <c r="D12" s="1973" t="s">
        <v>659</v>
      </c>
      <c r="E12" s="1977" t="s">
        <v>660</v>
      </c>
      <c r="F12" s="1977" t="s">
        <v>660</v>
      </c>
      <c r="H12" s="1614"/>
      <c r="I12" s="1945" t="s">
        <v>92</v>
      </c>
      <c r="J12" s="1952" t="s">
        <v>731</v>
      </c>
      <c r="K12" s="1939" t="s">
        <v>333</v>
      </c>
      <c r="L12" s="748"/>
      <c r="M12" s="234" t="s">
        <v>732</v>
      </c>
      <c r="N12" s="1550"/>
      <c r="P12" s="1557"/>
      <c r="W12" s="1557">
        <v>46</v>
      </c>
    </row>
    <row r="13" spans="1:23" ht="14.65" customHeight="1">
      <c r="E13" s="280"/>
      <c r="H13" s="312"/>
      <c r="I13" s="284"/>
      <c r="J13" s="587" t="s">
        <v>733</v>
      </c>
      <c r="K13" s="507"/>
      <c r="L13" s="152"/>
      <c r="M13" s="234"/>
      <c r="W13" s="1557">
        <v>14</v>
      </c>
    </row>
    <row r="14" spans="1:23" ht="14.65" customHeight="1">
      <c r="E14" s="280"/>
      <c r="H14" s="312"/>
      <c r="I14" s="986"/>
      <c r="J14" s="1603"/>
      <c r="K14" s="1604"/>
      <c r="L14" s="1605"/>
      <c r="M14" s="1949"/>
      <c r="W14" s="1557">
        <v>14</v>
      </c>
    </row>
    <row r="15" spans="1:23" ht="14.65" customHeight="1">
      <c r="I15" s="1607"/>
      <c r="J15" s="5379"/>
      <c r="K15" s="5379"/>
      <c r="L15" s="5379"/>
      <c r="M15" s="5379"/>
      <c r="W15" s="1557">
        <v>14</v>
      </c>
    </row>
    <row r="16" spans="1:23" ht="21" hidden="1" customHeight="1">
      <c r="A16" s="1951" t="s">
        <v>84</v>
      </c>
      <c r="B16" s="1557">
        <v>9</v>
      </c>
      <c r="C16" s="1557">
        <v>9</v>
      </c>
      <c r="D16" s="1557">
        <v>9</v>
      </c>
      <c r="E16" s="1951" t="s">
        <v>101</v>
      </c>
      <c r="F16" s="1976" t="s">
        <v>101</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584</v>
      </c>
      <c r="H2" s="477"/>
      <c r="I2" s="477"/>
      <c r="J2" s="478" t="s">
        <v>734</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5310" t="s">
        <v>735</v>
      </c>
      <c r="F6" s="5310"/>
      <c r="G6" s="5310"/>
      <c r="H6" s="5310"/>
      <c r="I6" s="5310"/>
      <c r="J6" s="492"/>
      <c r="AF6" s="1557">
        <v>30</v>
      </c>
    </row>
    <row r="7" spans="1:32" ht="11.45" customHeight="1">
      <c r="E7" s="5331" t="str">
        <f>IF(org=0,"Не определено",org)</f>
        <v>ПАО "ТГК-1" филиал "Невский"</v>
      </c>
      <c r="F7" s="5331"/>
      <c r="G7" s="5331"/>
      <c r="H7" s="5331"/>
      <c r="I7" s="5331"/>
      <c r="AF7" s="1557">
        <v>11</v>
      </c>
    </row>
    <row r="8" spans="1:32" ht="11.45" customHeight="1">
      <c r="E8" s="1061"/>
      <c r="F8" s="1061"/>
      <c r="G8" s="1061"/>
      <c r="H8" s="1061"/>
      <c r="I8" s="1061"/>
      <c r="AF8" s="1557">
        <v>11</v>
      </c>
    </row>
    <row r="9" spans="1:32" s="1568" customFormat="1" ht="4.1500000000000004" customHeight="1">
      <c r="A9" s="1093"/>
      <c r="H9" s="818"/>
      <c r="I9" s="818" t="s">
        <v>119</v>
      </c>
      <c r="AF9" s="1562">
        <v>4</v>
      </c>
    </row>
    <row r="10" spans="1:32" ht="11.45" customHeight="1">
      <c r="E10" s="647"/>
      <c r="F10" s="5478" t="s">
        <v>107</v>
      </c>
      <c r="G10" s="5479"/>
      <c r="H10" s="1478" t="str">
        <f>IF(H9="","",INDEX(DIFFERENTIATION_UNMERGE_VD,MATCH(H9,DIFFERENTIATION_ID_DIFF,0)))</f>
        <v/>
      </c>
      <c r="I10" s="1478">
        <f>IF(I9="","",INDEX(DIFFERENTIATION_UNMERGE_VD,MATCH(I9,DIFFERENTIATION_ID_DIFF,0)))</f>
        <v>0</v>
      </c>
      <c r="J10" s="5235"/>
      <c r="AF10" s="1557">
        <v>11</v>
      </c>
    </row>
    <row r="11" spans="1:32" ht="11.45" customHeight="1">
      <c r="E11" s="647"/>
      <c r="F11" s="5478" t="s">
        <v>596</v>
      </c>
      <c r="G11" s="5479"/>
      <c r="H11" s="1478" t="str">
        <f>IF(H9="","",INDEX(DIFFERENTIATION_UNMERGE_AREA,MATCH(H9,DIFFERENTIATION_ID_DIFF,0)))</f>
        <v/>
      </c>
      <c r="I11" s="1478" t="str">
        <f>IF(I9="","",INDEX(DIFFERENTIATION_UNMERGE_AREA,MATCH(I9,DIFFERENTIATION_ID_DIFF,0)))</f>
        <v/>
      </c>
      <c r="J11" s="5235"/>
      <c r="AF11" s="1557">
        <v>11</v>
      </c>
    </row>
    <row r="12" spans="1:32" ht="1.1499999999999999" customHeight="1">
      <c r="E12" s="1588"/>
      <c r="F12" s="5496" t="s">
        <v>597</v>
      </c>
      <c r="G12" s="5497"/>
      <c r="H12" s="1589" t="str">
        <f>IF(H9="","",INDEX(DIFFERENTIATION_UNMERGE_SYSTEM,MATCH(H9,DIFFERENTIATION_ID_DIFF,0)))</f>
        <v/>
      </c>
      <c r="I12" s="1589" t="str">
        <f>IF(I9="","",INDEX(DIFFERENTIATION_UNMERGE_SYSTEM,MATCH(I9,DIFFERENTIATION_ID_DIFF,0)))</f>
        <v>без дифференциации</v>
      </c>
      <c r="J12" s="5235"/>
      <c r="AF12" s="1557">
        <v>1</v>
      </c>
    </row>
    <row r="13" spans="1:32" ht="11.45" customHeight="1">
      <c r="E13" s="5480" t="s">
        <v>327</v>
      </c>
      <c r="F13" s="5481"/>
      <c r="G13" s="5481"/>
      <c r="H13" s="1477"/>
      <c r="I13" s="1477"/>
      <c r="J13" s="5235"/>
      <c r="AF13" s="1557">
        <v>11</v>
      </c>
    </row>
    <row r="14" spans="1:32" ht="24" customHeight="1">
      <c r="E14" s="1565" t="s">
        <v>90</v>
      </c>
      <c r="F14" s="1560" t="s">
        <v>329</v>
      </c>
      <c r="G14" s="1560" t="s">
        <v>598</v>
      </c>
      <c r="H14" s="1560" t="s">
        <v>330</v>
      </c>
      <c r="I14" s="1560" t="s">
        <v>330</v>
      </c>
      <c r="J14" s="5235"/>
      <c r="AF14" s="1557">
        <v>23</v>
      </c>
    </row>
    <row r="15" spans="1:32" ht="19.899999999999999" customHeight="1">
      <c r="D15" s="1564"/>
      <c r="E15" s="1556" t="s">
        <v>111</v>
      </c>
      <c r="F15" s="643" t="s">
        <v>736</v>
      </c>
      <c r="G15" s="1572" t="s">
        <v>584</v>
      </c>
      <c r="H15" s="493"/>
      <c r="I15" s="493"/>
      <c r="J15" s="226" t="s">
        <v>737</v>
      </c>
      <c r="K15" s="479" t="s">
        <v>662</v>
      </c>
      <c r="AF15" s="1557">
        <v>19</v>
      </c>
    </row>
    <row r="16" spans="1:32" ht="35.65" customHeight="1">
      <c r="D16" s="1564"/>
      <c r="E16" s="1556" t="s">
        <v>112</v>
      </c>
      <c r="F16" s="643" t="s">
        <v>738</v>
      </c>
      <c r="G16" s="1572" t="s">
        <v>584</v>
      </c>
      <c r="H16" s="494">
        <f>SUM(H17,H20:H32)</f>
        <v>0</v>
      </c>
      <c r="I16" s="494">
        <f>SUM(I17,I20,I23,I26,I29:I32)</f>
        <v>0</v>
      </c>
      <c r="J16" s="226" t="s">
        <v>739</v>
      </c>
      <c r="K16" s="479" t="s">
        <v>662</v>
      </c>
      <c r="AF16" s="1557">
        <v>34</v>
      </c>
    </row>
    <row r="17" spans="1:32" ht="19.899999999999999" customHeight="1">
      <c r="D17" s="1564"/>
      <c r="E17" s="1590" t="s">
        <v>740</v>
      </c>
      <c r="F17" s="883" t="s">
        <v>741</v>
      </c>
      <c r="G17" s="1569" t="s">
        <v>584</v>
      </c>
      <c r="H17" s="493"/>
      <c r="I17" s="493"/>
      <c r="J17" s="226" t="s">
        <v>742</v>
      </c>
      <c r="K17" s="479"/>
      <c r="AF17" s="1557">
        <v>19</v>
      </c>
    </row>
    <row r="18" spans="1:32" ht="24" customHeight="1">
      <c r="D18" s="1564"/>
      <c r="E18" s="1590" t="s">
        <v>743</v>
      </c>
      <c r="F18" s="1576" t="s">
        <v>744</v>
      </c>
      <c r="G18" s="1569" t="s">
        <v>584</v>
      </c>
      <c r="H18" s="493"/>
      <c r="I18" s="493"/>
      <c r="J18" s="226" t="s">
        <v>745</v>
      </c>
      <c r="K18" s="479"/>
      <c r="AF18" s="1557">
        <v>23</v>
      </c>
    </row>
    <row r="19" spans="1:32" ht="35.65" customHeight="1">
      <c r="D19" s="1564"/>
      <c r="E19" s="1590" t="s">
        <v>746</v>
      </c>
      <c r="F19" s="1576" t="s">
        <v>747</v>
      </c>
      <c r="G19" s="1569" t="s">
        <v>584</v>
      </c>
      <c r="H19" s="493"/>
      <c r="I19" s="493"/>
      <c r="J19" s="226"/>
      <c r="K19" s="479"/>
      <c r="AF19" s="1557">
        <v>34</v>
      </c>
    </row>
    <row r="20" spans="1:32" ht="19.899999999999999" customHeight="1">
      <c r="D20" s="1564"/>
      <c r="E20" s="1590" t="s">
        <v>334</v>
      </c>
      <c r="F20" s="883" t="s">
        <v>748</v>
      </c>
      <c r="G20" s="1569" t="s">
        <v>584</v>
      </c>
      <c r="H20" s="493"/>
      <c r="I20" s="493"/>
      <c r="J20" s="226" t="s">
        <v>749</v>
      </c>
      <c r="K20" s="479"/>
      <c r="AF20" s="1557">
        <v>19</v>
      </c>
    </row>
    <row r="21" spans="1:32" ht="19.899999999999999" customHeight="1">
      <c r="D21" s="1564"/>
      <c r="E21" s="1590" t="s">
        <v>750</v>
      </c>
      <c r="F21" s="1576" t="s">
        <v>751</v>
      </c>
      <c r="G21" s="1569" t="s">
        <v>584</v>
      </c>
      <c r="H21" s="493"/>
      <c r="I21" s="493"/>
      <c r="J21" s="226"/>
      <c r="K21" s="479"/>
      <c r="AF21" s="1557">
        <v>19</v>
      </c>
    </row>
    <row r="22" spans="1:32" ht="19.899999999999999" customHeight="1">
      <c r="D22" s="1564"/>
      <c r="E22" s="1590" t="s">
        <v>752</v>
      </c>
      <c r="F22" s="1576" t="s">
        <v>753</v>
      </c>
      <c r="G22" s="1569" t="s">
        <v>584</v>
      </c>
      <c r="H22" s="493"/>
      <c r="I22" s="493"/>
      <c r="J22" s="226"/>
      <c r="K22" s="479"/>
      <c r="AF22" s="1557">
        <v>19</v>
      </c>
    </row>
    <row r="23" spans="1:32" ht="24" customHeight="1">
      <c r="D23" s="1564"/>
      <c r="E23" s="1590" t="s">
        <v>337</v>
      </c>
      <c r="F23" s="883" t="s">
        <v>754</v>
      </c>
      <c r="G23" s="1569" t="s">
        <v>584</v>
      </c>
      <c r="H23" s="493"/>
      <c r="I23" s="493"/>
      <c r="J23" s="226" t="s">
        <v>755</v>
      </c>
      <c r="K23" s="479"/>
      <c r="AF23" s="1557">
        <v>23</v>
      </c>
    </row>
    <row r="24" spans="1:32" ht="19.899999999999999" customHeight="1">
      <c r="D24" s="1564"/>
      <c r="E24" s="1590" t="s">
        <v>756</v>
      </c>
      <c r="F24" s="1576" t="s">
        <v>757</v>
      </c>
      <c r="G24" s="1569" t="s">
        <v>584</v>
      </c>
      <c r="H24" s="493"/>
      <c r="I24" s="493"/>
      <c r="J24" s="226"/>
      <c r="K24" s="479"/>
      <c r="AF24" s="1557">
        <v>19</v>
      </c>
    </row>
    <row r="25" spans="1:32" ht="35.65" customHeight="1">
      <c r="D25" s="1564"/>
      <c r="E25" s="1590" t="s">
        <v>758</v>
      </c>
      <c r="F25" s="1576" t="s">
        <v>759</v>
      </c>
      <c r="G25" s="1569" t="s">
        <v>584</v>
      </c>
      <c r="H25" s="493"/>
      <c r="I25" s="493"/>
      <c r="J25" s="226"/>
      <c r="K25" s="479"/>
      <c r="AF25" s="1557">
        <v>34</v>
      </c>
    </row>
    <row r="26" spans="1:32" ht="24" customHeight="1">
      <c r="D26" s="1564"/>
      <c r="E26" s="1590" t="s">
        <v>760</v>
      </c>
      <c r="F26" s="883" t="s">
        <v>761</v>
      </c>
      <c r="G26" s="1569" t="s">
        <v>584</v>
      </c>
      <c r="H26" s="493"/>
      <c r="I26" s="493"/>
      <c r="J26" s="226" t="s">
        <v>762</v>
      </c>
      <c r="K26" s="479"/>
      <c r="AF26" s="1557">
        <v>23</v>
      </c>
    </row>
    <row r="27" spans="1:32" ht="19.899999999999999" customHeight="1">
      <c r="D27" s="1564"/>
      <c r="E27" s="1601" t="s">
        <v>763</v>
      </c>
      <c r="F27" s="1576" t="s">
        <v>764</v>
      </c>
      <c r="G27" s="1580" t="s">
        <v>584</v>
      </c>
      <c r="H27" s="1602"/>
      <c r="I27" s="1602"/>
      <c r="J27" s="226"/>
      <c r="K27" s="479"/>
      <c r="AF27" s="1557">
        <v>19</v>
      </c>
    </row>
    <row r="28" spans="1:32" ht="19.899999999999999" customHeight="1">
      <c r="D28" s="1564"/>
      <c r="E28" s="1601" t="s">
        <v>765</v>
      </c>
      <c r="F28" s="1576" t="s">
        <v>766</v>
      </c>
      <c r="G28" s="1580" t="s">
        <v>584</v>
      </c>
      <c r="H28" s="1602"/>
      <c r="I28" s="1602"/>
      <c r="J28" s="226"/>
      <c r="K28" s="479"/>
      <c r="AF28" s="1557">
        <v>19</v>
      </c>
    </row>
    <row r="29" spans="1:32" ht="19.899999999999999" customHeight="1">
      <c r="D29" s="1564"/>
      <c r="E29" s="1601" t="s">
        <v>767</v>
      </c>
      <c r="F29" s="883" t="s">
        <v>768</v>
      </c>
      <c r="G29" s="1580" t="s">
        <v>584</v>
      </c>
      <c r="H29" s="1602"/>
      <c r="I29" s="1602"/>
      <c r="J29" s="226"/>
      <c r="K29" s="479"/>
      <c r="AF29" s="1557">
        <v>19</v>
      </c>
    </row>
    <row r="30" spans="1:32" ht="19.899999999999999" customHeight="1">
      <c r="D30" s="1564"/>
      <c r="E30" s="1601" t="s">
        <v>769</v>
      </c>
      <c r="F30" s="883" t="s">
        <v>770</v>
      </c>
      <c r="G30" s="1580" t="s">
        <v>584</v>
      </c>
      <c r="H30" s="1602"/>
      <c r="I30" s="1602"/>
      <c r="J30" s="226"/>
      <c r="K30" s="479"/>
      <c r="AF30" s="1557">
        <v>19</v>
      </c>
    </row>
    <row r="31" spans="1:32" ht="19.899999999999999" customHeight="1">
      <c r="D31" s="1564"/>
      <c r="E31" s="1601" t="s">
        <v>771</v>
      </c>
      <c r="F31" s="883" t="s">
        <v>772</v>
      </c>
      <c r="G31" s="1580" t="s">
        <v>584</v>
      </c>
      <c r="H31" s="1602"/>
      <c r="I31" s="1602"/>
      <c r="J31" s="226"/>
      <c r="K31" s="479"/>
      <c r="AF31" s="1557">
        <v>19</v>
      </c>
    </row>
    <row r="32" spans="1:32" s="1292" customFormat="1" ht="35.65" customHeight="1">
      <c r="A32" s="916"/>
      <c r="C32" s="1562"/>
      <c r="D32" s="1564"/>
      <c r="E32" s="1601" t="s">
        <v>773</v>
      </c>
      <c r="F32" s="883" t="s">
        <v>774</v>
      </c>
      <c r="G32" s="1570" t="s">
        <v>584</v>
      </c>
      <c r="H32" s="515">
        <f>SUM(H33:H34)</f>
        <v>0</v>
      </c>
      <c r="I32" s="515">
        <f>SUM(I33:I34)</f>
        <v>0</v>
      </c>
      <c r="J32" s="226" t="s">
        <v>775</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609</v>
      </c>
      <c r="G34" s="508"/>
      <c r="H34" s="509"/>
      <c r="I34" s="509"/>
      <c r="J34" s="238" t="s">
        <v>776</v>
      </c>
      <c r="K34" s="479"/>
      <c r="L34" s="1562"/>
      <c r="M34" s="1562"/>
      <c r="R34" s="1562"/>
      <c r="U34" s="480"/>
      <c r="AA34" s="1558"/>
      <c r="AB34" s="1558"/>
      <c r="AC34" s="1558"/>
      <c r="AD34" s="1558"/>
      <c r="AE34" s="1558"/>
      <c r="AF34" s="1086">
        <v>19</v>
      </c>
    </row>
    <row r="35" spans="1:32" ht="60" customHeight="1">
      <c r="D35" s="1564"/>
      <c r="E35" s="1601" t="s">
        <v>777</v>
      </c>
      <c r="F35" s="883" t="s">
        <v>778</v>
      </c>
      <c r="G35" s="1580" t="s">
        <v>584</v>
      </c>
      <c r="H35" s="1602"/>
      <c r="I35" s="1602"/>
      <c r="J35" s="226" t="s">
        <v>779</v>
      </c>
      <c r="K35" s="479"/>
      <c r="AF35" s="1557">
        <v>57</v>
      </c>
    </row>
    <row r="36" spans="1:32" s="1292" customFormat="1" ht="24" customHeight="1">
      <c r="A36" s="918" t="s">
        <v>610</v>
      </c>
      <c r="C36" s="1562"/>
      <c r="D36" s="1564"/>
      <c r="E36" s="1590" t="s">
        <v>92</v>
      </c>
      <c r="F36" s="643" t="s">
        <v>780</v>
      </c>
      <c r="G36" s="1569" t="s">
        <v>584</v>
      </c>
      <c r="H36" s="493"/>
      <c r="I36" s="493"/>
      <c r="J36" s="226" t="s">
        <v>781</v>
      </c>
      <c r="K36" s="479"/>
      <c r="L36" s="1562"/>
      <c r="M36" s="1562"/>
      <c r="R36" s="1562"/>
      <c r="U36" s="480"/>
      <c r="AA36" s="1558"/>
      <c r="AB36" s="1558"/>
      <c r="AC36" s="1558"/>
      <c r="AD36" s="1558"/>
      <c r="AE36" s="1558"/>
      <c r="AF36" s="1086">
        <v>23</v>
      </c>
    </row>
    <row r="37" spans="1:32" s="1292" customFormat="1" ht="35.65" customHeight="1">
      <c r="A37" s="918"/>
      <c r="C37" s="1562"/>
      <c r="D37" s="1564"/>
      <c r="E37" s="1590" t="s">
        <v>351</v>
      </c>
      <c r="F37" s="883" t="s">
        <v>782</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93</v>
      </c>
      <c r="F38" s="643" t="s">
        <v>783</v>
      </c>
      <c r="G38" s="1569" t="s">
        <v>584</v>
      </c>
      <c r="H38" s="493"/>
      <c r="I38" s="493"/>
      <c r="J38" s="226" t="s">
        <v>784</v>
      </c>
      <c r="K38" s="479"/>
      <c r="L38" s="1562"/>
      <c r="M38" s="1562"/>
      <c r="R38" s="1562"/>
      <c r="U38" s="480"/>
      <c r="AA38" s="1558"/>
      <c r="AB38" s="1558"/>
      <c r="AC38" s="1558"/>
      <c r="AD38" s="1558"/>
      <c r="AE38" s="1558"/>
      <c r="AF38" s="1086">
        <v>19</v>
      </c>
    </row>
    <row r="39" spans="1:32" s="1292" customFormat="1" ht="24" customHeight="1">
      <c r="A39" s="916"/>
      <c r="C39" s="1562"/>
      <c r="D39" s="511"/>
      <c r="E39" s="1590" t="s">
        <v>785</v>
      </c>
      <c r="F39" s="883" t="s">
        <v>786</v>
      </c>
      <c r="G39" s="1580" t="s">
        <v>584</v>
      </c>
      <c r="H39" s="493"/>
      <c r="I39" s="493"/>
      <c r="J39" s="226" t="s">
        <v>787</v>
      </c>
      <c r="K39" s="479"/>
      <c r="L39" s="1562"/>
      <c r="M39" s="1562"/>
      <c r="R39" s="1562"/>
      <c r="U39" s="480"/>
      <c r="AA39" s="1558"/>
      <c r="AB39" s="1558"/>
      <c r="AC39" s="1558"/>
      <c r="AD39" s="1558"/>
      <c r="AE39" s="1558"/>
      <c r="AF39" s="1086">
        <v>23</v>
      </c>
    </row>
    <row r="40" spans="1:32" s="1292" customFormat="1" ht="24" customHeight="1">
      <c r="A40" s="916"/>
      <c r="C40" s="1562"/>
      <c r="D40" s="1564"/>
      <c r="E40" s="1590" t="s">
        <v>788</v>
      </c>
      <c r="F40" s="1576" t="s">
        <v>789</v>
      </c>
      <c r="G40" s="1569" t="s">
        <v>584</v>
      </c>
      <c r="H40" s="493"/>
      <c r="I40" s="493"/>
      <c r="J40" s="226" t="s">
        <v>790</v>
      </c>
      <c r="K40" s="479"/>
      <c r="L40" s="1562"/>
      <c r="M40" s="1562"/>
      <c r="R40" s="1562"/>
      <c r="U40" s="480"/>
      <c r="AA40" s="1558"/>
      <c r="AB40" s="1558"/>
      <c r="AC40" s="1558"/>
      <c r="AD40" s="1558"/>
      <c r="AE40" s="1558"/>
      <c r="AF40" s="1086">
        <v>23</v>
      </c>
    </row>
    <row r="41" spans="1:32" s="1292" customFormat="1" ht="24" customHeight="1">
      <c r="A41" s="916"/>
      <c r="C41" s="1562"/>
      <c r="D41" s="1564"/>
      <c r="E41" s="1590" t="s">
        <v>791</v>
      </c>
      <c r="F41" s="1576" t="s">
        <v>792</v>
      </c>
      <c r="G41" s="1569" t="s">
        <v>584</v>
      </c>
      <c r="H41" s="493"/>
      <c r="I41" s="493"/>
      <c r="J41" s="226" t="s">
        <v>793</v>
      </c>
      <c r="K41" s="479"/>
      <c r="L41" s="1562"/>
      <c r="M41" s="1562"/>
      <c r="R41" s="1562"/>
      <c r="U41" s="480"/>
      <c r="AA41" s="1558"/>
      <c r="AB41" s="1558"/>
      <c r="AC41" s="1558"/>
      <c r="AD41" s="1558"/>
      <c r="AE41" s="1558"/>
      <c r="AF41" s="1086">
        <v>23</v>
      </c>
    </row>
    <row r="42" spans="1:32" s="1292" customFormat="1" ht="24" customHeight="1">
      <c r="A42" s="916"/>
      <c r="C42" s="1562"/>
      <c r="D42" s="1564"/>
      <c r="E42" s="1590" t="s">
        <v>794</v>
      </c>
      <c r="F42" s="1576" t="s">
        <v>795</v>
      </c>
      <c r="G42" s="1569" t="s">
        <v>584</v>
      </c>
      <c r="H42" s="493"/>
      <c r="I42" s="493"/>
      <c r="J42" s="226" t="s">
        <v>796</v>
      </c>
      <c r="K42" s="479"/>
      <c r="L42" s="1562"/>
      <c r="M42" s="1562"/>
      <c r="R42" s="1562"/>
      <c r="U42" s="480"/>
      <c r="AA42" s="1558"/>
      <c r="AB42" s="1558"/>
      <c r="AC42" s="1558"/>
      <c r="AD42" s="1558"/>
      <c r="AE42" s="1558"/>
      <c r="AF42" s="1086">
        <v>23</v>
      </c>
    </row>
    <row r="43" spans="1:32" s="1292" customFormat="1" ht="35.65" customHeight="1">
      <c r="A43" s="916"/>
      <c r="C43" s="1562" t="s">
        <v>620</v>
      </c>
      <c r="D43" s="1564"/>
      <c r="E43" s="1590" t="s">
        <v>113</v>
      </c>
      <c r="F43" s="643" t="s">
        <v>661</v>
      </c>
      <c r="G43" s="1572" t="s">
        <v>797</v>
      </c>
      <c r="H43" s="337"/>
      <c r="I43" s="337"/>
      <c r="J43" s="226" t="s">
        <v>798</v>
      </c>
      <c r="K43" s="479"/>
      <c r="L43" s="1562"/>
      <c r="M43" s="1562"/>
      <c r="R43" s="1562"/>
      <c r="U43" s="480"/>
      <c r="AA43" s="1558"/>
      <c r="AB43" s="1558"/>
      <c r="AC43" s="1558"/>
      <c r="AD43" s="1558"/>
      <c r="AE43" s="1558"/>
      <c r="AF43" s="1086">
        <v>34</v>
      </c>
    </row>
    <row r="44" spans="1:32" s="1292" customFormat="1" ht="35.65" customHeight="1">
      <c r="A44" s="916"/>
      <c r="C44" s="1562"/>
      <c r="D44" s="1564"/>
      <c r="E44" s="1590" t="s">
        <v>94</v>
      </c>
      <c r="F44" s="643" t="s">
        <v>799</v>
      </c>
      <c r="G44" s="1569" t="s">
        <v>800</v>
      </c>
      <c r="H44" s="481"/>
      <c r="I44" s="481"/>
      <c r="J44" s="226" t="s">
        <v>801</v>
      </c>
      <c r="K44" s="479"/>
      <c r="L44" s="1562"/>
      <c r="M44" s="1562"/>
      <c r="R44" s="1562"/>
      <c r="U44" s="480"/>
      <c r="AA44" s="1558"/>
      <c r="AB44" s="1558"/>
      <c r="AC44" s="1558"/>
      <c r="AD44" s="1558"/>
      <c r="AE44" s="1558"/>
      <c r="AF44" s="1086">
        <v>34</v>
      </c>
    </row>
    <row r="45" spans="1:32" s="1292" customFormat="1" ht="24" customHeight="1">
      <c r="A45" s="916"/>
      <c r="C45" s="1562"/>
      <c r="D45" s="1564"/>
      <c r="E45" s="1590" t="s">
        <v>95</v>
      </c>
      <c r="F45" s="643" t="s">
        <v>802</v>
      </c>
      <c r="G45" s="1580" t="s">
        <v>803</v>
      </c>
      <c r="H45" s="481"/>
      <c r="I45" s="481"/>
      <c r="J45" s="226" t="s">
        <v>804</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114</v>
      </c>
      <c r="F46" s="643" t="s">
        <v>805</v>
      </c>
      <c r="G46" s="1569" t="s">
        <v>622</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84</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584</v>
      </c>
      <c r="H2" s="477"/>
      <c r="I2" s="477"/>
      <c r="J2" s="478" t="s">
        <v>587</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5359" t="s">
        <v>806</v>
      </c>
      <c r="F6" s="5359"/>
      <c r="G6" s="5359"/>
      <c r="H6" s="5359"/>
      <c r="I6" s="5359"/>
      <c r="J6" s="492"/>
      <c r="AF6" s="1557">
        <v>32</v>
      </c>
    </row>
    <row r="7" spans="1:32" ht="25.15" customHeight="1">
      <c r="E7" s="5331" t="str">
        <f>IF(org=0,"Не определено",org)</f>
        <v>ПАО "ТГК-1" филиал "Невский"</v>
      </c>
      <c r="F7" s="5331"/>
      <c r="G7" s="5331"/>
      <c r="H7" s="5331"/>
      <c r="I7" s="5331"/>
      <c r="AF7" s="1557">
        <v>24</v>
      </c>
    </row>
    <row r="8" spans="1:32" ht="11.45" customHeight="1">
      <c r="E8" s="1061"/>
      <c r="F8" s="1061"/>
      <c r="G8" s="1061"/>
      <c r="H8" s="1061"/>
      <c r="I8" s="1061"/>
      <c r="AF8" s="1557">
        <v>11</v>
      </c>
    </row>
    <row r="9" spans="1:32" s="1568" customFormat="1" ht="1.1499999999999999" customHeight="1">
      <c r="A9" s="1093"/>
      <c r="H9" s="818"/>
      <c r="I9" s="818" t="s">
        <v>119</v>
      </c>
      <c r="AF9" s="1562">
        <v>1</v>
      </c>
    </row>
    <row r="10" spans="1:32" ht="11.45" customHeight="1">
      <c r="E10" s="647"/>
      <c r="F10" s="5478" t="s">
        <v>107</v>
      </c>
      <c r="G10" s="5479"/>
      <c r="H10" s="1585" t="str">
        <f>IF(H9="","",INDEX(DIFFERENTIATION_UNMERGE_VD,MATCH(H9,DIFFERENTIATION_ID_DIFF,0)))</f>
        <v/>
      </c>
      <c r="I10" s="1585">
        <f>IF(I9="","",INDEX(DIFFERENTIATION_UNMERGE_VD,MATCH(I9,DIFFERENTIATION_ID_DIFF,0)))</f>
        <v>0</v>
      </c>
      <c r="J10" s="5235"/>
      <c r="AF10" s="1557">
        <v>11</v>
      </c>
    </row>
    <row r="11" spans="1:32" ht="11.45" customHeight="1">
      <c r="E11" s="647"/>
      <c r="F11" s="5478" t="s">
        <v>596</v>
      </c>
      <c r="G11" s="5479"/>
      <c r="H11" s="1585" t="str">
        <f>IF(H9="","",INDEX(DIFFERENTIATION_UNMERGE_AREA,MATCH(H9,DIFFERENTIATION_ID_DIFF,0)))</f>
        <v/>
      </c>
      <c r="I11" s="1585" t="str">
        <f>IF(I9="","",INDEX(DIFFERENTIATION_UNMERGE_AREA,MATCH(I9,DIFFERENTIATION_ID_DIFF,0)))</f>
        <v/>
      </c>
      <c r="J11" s="5235"/>
      <c r="AF11" s="1557">
        <v>11</v>
      </c>
    </row>
    <row r="12" spans="1:32" ht="11.25" hidden="1" customHeight="1">
      <c r="E12" s="1588"/>
      <c r="F12" s="5496" t="s">
        <v>597</v>
      </c>
      <c r="G12" s="5497"/>
      <c r="H12" s="1589" t="str">
        <f>IF(H9="","",INDEX(DIFFERENTIATION_UNMERGE_SYSTEM,MATCH(H9,DIFFERENTIATION_ID_DIFF,0)))</f>
        <v/>
      </c>
      <c r="I12" s="1589" t="str">
        <f>IF(I9="","",INDEX(DIFFERENTIATION_UNMERGE_SYSTEM,MATCH(I9,DIFFERENTIATION_ID_DIFF,0)))</f>
        <v>без дифференциации</v>
      </c>
      <c r="J12" s="5235"/>
      <c r="AF12" s="1557">
        <v>0</v>
      </c>
    </row>
    <row r="13" spans="1:32" ht="11.45" customHeight="1">
      <c r="E13" s="5480" t="s">
        <v>327</v>
      </c>
      <c r="F13" s="5481"/>
      <c r="G13" s="5481"/>
      <c r="H13" s="1582"/>
      <c r="I13" s="1582"/>
      <c r="J13" s="5235"/>
      <c r="AF13" s="1557">
        <v>11</v>
      </c>
    </row>
    <row r="14" spans="1:32" ht="24" customHeight="1">
      <c r="E14" s="1583" t="s">
        <v>90</v>
      </c>
      <c r="F14" s="1586" t="s">
        <v>329</v>
      </c>
      <c r="G14" s="1586" t="s">
        <v>598</v>
      </c>
      <c r="H14" s="1586" t="s">
        <v>330</v>
      </c>
      <c r="I14" s="1586" t="s">
        <v>330</v>
      </c>
      <c r="J14" s="5235"/>
      <c r="AF14" s="1557">
        <v>23</v>
      </c>
    </row>
    <row r="15" spans="1:32" ht="19.899999999999999" customHeight="1">
      <c r="D15" s="1564"/>
      <c r="E15" s="1556" t="s">
        <v>111</v>
      </c>
      <c r="F15" s="643" t="s">
        <v>807</v>
      </c>
      <c r="G15" s="1583" t="s">
        <v>584</v>
      </c>
      <c r="H15" s="493"/>
      <c r="I15" s="493"/>
      <c r="J15" s="226" t="s">
        <v>808</v>
      </c>
      <c r="K15" s="479" t="s">
        <v>662</v>
      </c>
      <c r="AF15" s="1557">
        <v>19</v>
      </c>
    </row>
    <row r="16" spans="1:32" ht="24" customHeight="1">
      <c r="D16" s="1564"/>
      <c r="E16" s="1556" t="s">
        <v>112</v>
      </c>
      <c r="F16" s="1591" t="s">
        <v>809</v>
      </c>
      <c r="G16" s="1583" t="s">
        <v>584</v>
      </c>
      <c r="H16" s="494">
        <f>SUM(H17,H20:H27)</f>
        <v>0</v>
      </c>
      <c r="I16" s="494">
        <f>SUM(I17,I20:I27)</f>
        <v>0</v>
      </c>
      <c r="J16" s="226" t="s">
        <v>810</v>
      </c>
      <c r="K16" s="479" t="s">
        <v>662</v>
      </c>
      <c r="AF16" s="1557">
        <v>23</v>
      </c>
    </row>
    <row r="17" spans="1:32" ht="35.65" customHeight="1">
      <c r="D17" s="1564"/>
      <c r="E17" s="1590" t="s">
        <v>740</v>
      </c>
      <c r="F17" s="1593" t="s">
        <v>811</v>
      </c>
      <c r="G17" s="1580" t="s">
        <v>584</v>
      </c>
      <c r="H17" s="493"/>
      <c r="I17" s="493"/>
      <c r="J17" s="226" t="s">
        <v>812</v>
      </c>
      <c r="K17" s="479"/>
      <c r="AF17" s="1557">
        <v>34</v>
      </c>
    </row>
    <row r="18" spans="1:32" ht="19.899999999999999" customHeight="1">
      <c r="D18" s="1564"/>
      <c r="E18" s="1590" t="s">
        <v>743</v>
      </c>
      <c r="F18" s="1594" t="s">
        <v>813</v>
      </c>
      <c r="G18" s="1580" t="s">
        <v>584</v>
      </c>
      <c r="H18" s="493"/>
      <c r="I18" s="493"/>
      <c r="J18" s="226"/>
      <c r="K18" s="479"/>
      <c r="AF18" s="1557">
        <v>19</v>
      </c>
    </row>
    <row r="19" spans="1:32" ht="24" customHeight="1">
      <c r="D19" s="1564"/>
      <c r="E19" s="1590" t="s">
        <v>746</v>
      </c>
      <c r="F19" s="1594" t="s">
        <v>814</v>
      </c>
      <c r="G19" s="1580" t="s">
        <v>584</v>
      </c>
      <c r="H19" s="493"/>
      <c r="I19" s="493"/>
      <c r="J19" s="226"/>
      <c r="K19" s="479"/>
      <c r="AF19" s="1557">
        <v>23</v>
      </c>
    </row>
    <row r="20" spans="1:32" ht="35.65" customHeight="1">
      <c r="D20" s="1564"/>
      <c r="E20" s="1590" t="s">
        <v>334</v>
      </c>
      <c r="F20" s="1593" t="s">
        <v>815</v>
      </c>
      <c r="G20" s="1580" t="s">
        <v>584</v>
      </c>
      <c r="H20" s="493"/>
      <c r="I20" s="493"/>
      <c r="J20" s="226"/>
      <c r="K20" s="479"/>
      <c r="AF20" s="1557">
        <v>34</v>
      </c>
    </row>
    <row r="21" spans="1:32" ht="48.2" customHeight="1">
      <c r="D21" s="1564"/>
      <c r="E21" s="1590" t="s">
        <v>337</v>
      </c>
      <c r="F21" s="1593" t="s">
        <v>816</v>
      </c>
      <c r="G21" s="1580" t="s">
        <v>584</v>
      </c>
      <c r="H21" s="493"/>
      <c r="I21" s="493"/>
      <c r="J21" s="226"/>
      <c r="K21" s="479"/>
      <c r="AF21" s="1557">
        <v>46</v>
      </c>
    </row>
    <row r="22" spans="1:32" ht="60" customHeight="1">
      <c r="D22" s="1564"/>
      <c r="E22" s="1590" t="s">
        <v>760</v>
      </c>
      <c r="F22" s="1593" t="s">
        <v>817</v>
      </c>
      <c r="G22" s="1580" t="s">
        <v>584</v>
      </c>
      <c r="H22" s="493"/>
      <c r="I22" s="493"/>
      <c r="J22" s="226"/>
      <c r="K22" s="479"/>
      <c r="AF22" s="1557">
        <v>57</v>
      </c>
    </row>
    <row r="23" spans="1:32" ht="35.65" customHeight="1">
      <c r="D23" s="1564"/>
      <c r="E23" s="1590" t="s">
        <v>767</v>
      </c>
      <c r="F23" s="1593" t="s">
        <v>818</v>
      </c>
      <c r="G23" s="1580" t="s">
        <v>584</v>
      </c>
      <c r="H23" s="493"/>
      <c r="I23" s="493"/>
      <c r="J23" s="226"/>
      <c r="K23" s="479"/>
      <c r="AF23" s="1557">
        <v>34</v>
      </c>
    </row>
    <row r="24" spans="1:32" ht="35.65" customHeight="1">
      <c r="D24" s="1564"/>
      <c r="E24" s="1590" t="s">
        <v>769</v>
      </c>
      <c r="F24" s="1593" t="s">
        <v>819</v>
      </c>
      <c r="G24" s="1580" t="s">
        <v>584</v>
      </c>
      <c r="H24" s="493"/>
      <c r="I24" s="493"/>
      <c r="J24" s="226"/>
      <c r="K24" s="479"/>
      <c r="AF24" s="1557">
        <v>34</v>
      </c>
    </row>
    <row r="25" spans="1:32" ht="24" customHeight="1">
      <c r="D25" s="1564"/>
      <c r="E25" s="1590" t="s">
        <v>771</v>
      </c>
      <c r="F25" s="1593" t="s">
        <v>820</v>
      </c>
      <c r="G25" s="1580" t="s">
        <v>584</v>
      </c>
      <c r="H25" s="493"/>
      <c r="I25" s="493"/>
      <c r="J25" s="226"/>
      <c r="K25" s="479"/>
      <c r="AF25" s="1557">
        <v>23</v>
      </c>
    </row>
    <row r="26" spans="1:32" ht="76.5" customHeight="1">
      <c r="D26" s="1564"/>
      <c r="E26" s="1590" t="s">
        <v>773</v>
      </c>
      <c r="F26" s="1593" t="s">
        <v>821</v>
      </c>
      <c r="G26" s="1580" t="s">
        <v>584</v>
      </c>
      <c r="H26" s="493"/>
      <c r="I26" s="493"/>
      <c r="J26" s="226"/>
      <c r="K26" s="479"/>
      <c r="AF26" s="1557">
        <v>73</v>
      </c>
    </row>
    <row r="27" spans="1:32" s="1292" customFormat="1" ht="35.65" customHeight="1">
      <c r="A27" s="916"/>
      <c r="C27" s="1562"/>
      <c r="D27" s="1564"/>
      <c r="E27" s="1555" t="s">
        <v>777</v>
      </c>
      <c r="F27" s="1554" t="s">
        <v>822</v>
      </c>
      <c r="G27" s="1581" t="s">
        <v>584</v>
      </c>
      <c r="H27" s="515">
        <f>SUM(H28:H29)</f>
        <v>0</v>
      </c>
      <c r="I27" s="515">
        <f>SUM(I28:I29)</f>
        <v>0</v>
      </c>
      <c r="J27" s="226" t="s">
        <v>775</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609</v>
      </c>
      <c r="G29" s="508"/>
      <c r="H29" s="509"/>
      <c r="I29" s="509"/>
      <c r="J29" s="238" t="s">
        <v>776</v>
      </c>
      <c r="K29" s="479"/>
      <c r="L29" s="1562"/>
      <c r="M29" s="1562"/>
      <c r="R29" s="1562"/>
      <c r="U29" s="480"/>
      <c r="AA29" s="1558"/>
      <c r="AB29" s="1558"/>
      <c r="AC29" s="1558"/>
      <c r="AD29" s="1558"/>
      <c r="AE29" s="1558"/>
      <c r="AF29" s="1086">
        <v>19</v>
      </c>
    </row>
    <row r="30" spans="1:32" s="1292" customFormat="1" ht="24" customHeight="1">
      <c r="A30" s="916"/>
      <c r="C30" s="1562"/>
      <c r="D30" s="1564"/>
      <c r="E30" s="1590" t="s">
        <v>92</v>
      </c>
      <c r="F30" s="1587" t="s">
        <v>823</v>
      </c>
      <c r="G30" s="1580" t="s">
        <v>584</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93</v>
      </c>
      <c r="F31" s="1587" t="s">
        <v>824</v>
      </c>
      <c r="G31" s="1580" t="s">
        <v>584</v>
      </c>
      <c r="H31" s="493"/>
      <c r="I31" s="493"/>
      <c r="J31" s="226" t="s">
        <v>825</v>
      </c>
      <c r="K31" s="479"/>
      <c r="L31" s="1562"/>
      <c r="M31" s="1562"/>
      <c r="R31" s="1562"/>
      <c r="U31" s="480"/>
      <c r="AA31" s="1558"/>
      <c r="AB31" s="1558"/>
      <c r="AC31" s="1558"/>
      <c r="AD31" s="1558"/>
      <c r="AE31" s="1558"/>
      <c r="AF31" s="1086">
        <v>34</v>
      </c>
    </row>
    <row r="32" spans="1:32" s="1292" customFormat="1" ht="24" customHeight="1">
      <c r="A32" s="916"/>
      <c r="C32" s="1562"/>
      <c r="D32" s="1564"/>
      <c r="E32" s="1590" t="s">
        <v>785</v>
      </c>
      <c r="F32" s="626" t="s">
        <v>789</v>
      </c>
      <c r="G32" s="1580" t="s">
        <v>584</v>
      </c>
      <c r="H32" s="493"/>
      <c r="I32" s="493"/>
      <c r="J32" s="226" t="s">
        <v>826</v>
      </c>
      <c r="K32" s="479"/>
      <c r="L32" s="1562"/>
      <c r="M32" s="1562"/>
      <c r="R32" s="1562"/>
      <c r="U32" s="480"/>
      <c r="AA32" s="1558"/>
      <c r="AB32" s="1558"/>
      <c r="AC32" s="1558"/>
      <c r="AD32" s="1558"/>
      <c r="AE32" s="1558"/>
      <c r="AF32" s="1086">
        <v>23</v>
      </c>
    </row>
    <row r="33" spans="1:32" s="1292" customFormat="1" ht="24" customHeight="1">
      <c r="A33" s="916"/>
      <c r="C33" s="1562"/>
      <c r="D33" s="1564"/>
      <c r="E33" s="1590" t="s">
        <v>827</v>
      </c>
      <c r="F33" s="626" t="s">
        <v>828</v>
      </c>
      <c r="G33" s="1580" t="s">
        <v>584</v>
      </c>
      <c r="H33" s="493"/>
      <c r="I33" s="493"/>
      <c r="J33" s="226" t="s">
        <v>829</v>
      </c>
      <c r="K33" s="479"/>
      <c r="L33" s="1562"/>
      <c r="M33" s="1562"/>
      <c r="R33" s="1562"/>
      <c r="U33" s="480"/>
      <c r="AA33" s="1558"/>
      <c r="AB33" s="1558"/>
      <c r="AC33" s="1558"/>
      <c r="AD33" s="1558"/>
      <c r="AE33" s="1558"/>
      <c r="AF33" s="1086">
        <v>23</v>
      </c>
    </row>
    <row r="34" spans="1:32" s="1292" customFormat="1" ht="24" customHeight="1">
      <c r="A34" s="916"/>
      <c r="C34" s="1562"/>
      <c r="D34" s="1564"/>
      <c r="E34" s="1590" t="s">
        <v>830</v>
      </c>
      <c r="F34" s="626" t="s">
        <v>795</v>
      </c>
      <c r="G34" s="1580" t="s">
        <v>584</v>
      </c>
      <c r="H34" s="493"/>
      <c r="I34" s="493"/>
      <c r="J34" s="226" t="s">
        <v>831</v>
      </c>
      <c r="K34" s="479"/>
      <c r="L34" s="1562"/>
      <c r="M34" s="1562"/>
      <c r="R34" s="1562"/>
      <c r="U34" s="480"/>
      <c r="AA34" s="1558"/>
      <c r="AB34" s="1558"/>
      <c r="AC34" s="1558"/>
      <c r="AD34" s="1558"/>
      <c r="AE34" s="1558"/>
      <c r="AF34" s="1086">
        <v>23</v>
      </c>
    </row>
    <row r="35" spans="1:32" s="1292" customFormat="1" ht="35.65" customHeight="1">
      <c r="A35" s="916"/>
      <c r="C35" s="1562" t="s">
        <v>620</v>
      </c>
      <c r="D35" s="1564"/>
      <c r="E35" s="1590" t="s">
        <v>113</v>
      </c>
      <c r="F35" s="1587" t="s">
        <v>661</v>
      </c>
      <c r="G35" s="1583" t="s">
        <v>333</v>
      </c>
      <c r="H35" s="337"/>
      <c r="I35" s="337"/>
      <c r="J35" s="226" t="s">
        <v>832</v>
      </c>
      <c r="K35" s="479"/>
      <c r="L35" s="1562"/>
      <c r="M35" s="1562"/>
      <c r="R35" s="1562"/>
      <c r="U35" s="480"/>
      <c r="AA35" s="1558"/>
      <c r="AB35" s="1558"/>
      <c r="AC35" s="1558"/>
      <c r="AD35" s="1558"/>
      <c r="AE35" s="1558"/>
      <c r="AF35" s="1086">
        <v>34</v>
      </c>
    </row>
    <row r="36" spans="1:32" s="1292" customFormat="1" ht="35.65" customHeight="1">
      <c r="A36" s="916"/>
      <c r="C36" s="1562"/>
      <c r="D36" s="1564"/>
      <c r="E36" s="1590" t="s">
        <v>94</v>
      </c>
      <c r="F36" s="1587" t="s">
        <v>833</v>
      </c>
      <c r="G36" s="1580" t="s">
        <v>800</v>
      </c>
      <c r="H36" s="481"/>
      <c r="I36" s="481"/>
      <c r="J36" s="226" t="s">
        <v>801</v>
      </c>
      <c r="K36" s="479"/>
      <c r="L36" s="1562"/>
      <c r="M36" s="1562"/>
      <c r="R36" s="1562"/>
      <c r="U36" s="480"/>
      <c r="AA36" s="1558"/>
      <c r="AB36" s="1558"/>
      <c r="AC36" s="1558"/>
      <c r="AD36" s="1558"/>
      <c r="AE36" s="1558"/>
      <c r="AF36" s="1086">
        <v>34</v>
      </c>
    </row>
    <row r="37" spans="1:32" s="1292" customFormat="1" ht="24" customHeight="1">
      <c r="A37" s="916"/>
      <c r="C37" s="1562"/>
      <c r="D37" s="1564"/>
      <c r="E37" s="1590" t="s">
        <v>95</v>
      </c>
      <c r="F37" s="1587" t="s">
        <v>834</v>
      </c>
      <c r="G37" s="1580" t="s">
        <v>803</v>
      </c>
      <c r="H37" s="481"/>
      <c r="I37" s="481"/>
      <c r="J37" s="226" t="s">
        <v>804</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835</v>
      </c>
      <c r="F39" s="5379" t="s">
        <v>836</v>
      </c>
      <c r="G39" s="5379"/>
      <c r="H39" s="305"/>
      <c r="I39" s="305"/>
      <c r="J39" s="305"/>
      <c r="AF39" s="1557">
        <v>26</v>
      </c>
    </row>
    <row r="40" spans="1:32" s="1567" customFormat="1" ht="39.75" customHeight="1">
      <c r="A40" s="916"/>
      <c r="B40" s="1562"/>
      <c r="C40" s="1562"/>
      <c r="D40" s="287"/>
      <c r="F40" s="5379" t="s">
        <v>837</v>
      </c>
      <c r="G40" s="5379"/>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84</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522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5229"/>
      <c r="F3" s="5230"/>
      <c r="X3" s="441">
        <v>75</v>
      </c>
    </row>
    <row r="4" spans="1:24" s="1561" customFormat="1" ht="21" customHeight="1">
      <c r="A4" s="880"/>
      <c r="B4" s="447"/>
      <c r="D4" s="5353" t="str">
        <f>IF(org=0,"Не определено",org)</f>
        <v>ПАО "ТГК-1" филиал "Невский"</v>
      </c>
      <c r="E4" s="5354"/>
      <c r="F4" s="5355"/>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119</v>
      </c>
      <c r="J6" s="951"/>
      <c r="X6" s="441">
        <v>1</v>
      </c>
    </row>
    <row r="7" spans="1:24" ht="11.45" customHeight="1">
      <c r="D7" s="647"/>
      <c r="E7" s="5478" t="s">
        <v>107</v>
      </c>
      <c r="F7" s="5479"/>
      <c r="G7" s="5498" t="str">
        <f>IF(G6="","",INDEX(DIFFERENTIATION_UNMERGE_VD,MATCH(G6,DIFFERENTIATION_ID_DIFF,0)))</f>
        <v/>
      </c>
      <c r="H7" s="5499"/>
      <c r="I7" s="5498">
        <f>IF(I6="","",INDEX(DIFFERENTIATION_UNMERGE_VD,MATCH(I6,DIFFERENTIATION_ID_DIFF,0)))</f>
        <v>0</v>
      </c>
      <c r="J7" s="5499"/>
      <c r="K7" s="5311"/>
      <c r="L7" s="445"/>
      <c r="X7" s="441">
        <v>11</v>
      </c>
    </row>
    <row r="8" spans="1:24" ht="11.45" customHeight="1">
      <c r="A8" s="640"/>
      <c r="D8" s="647"/>
      <c r="E8" s="5478" t="s">
        <v>596</v>
      </c>
      <c r="F8" s="5479"/>
      <c r="G8" s="5498" t="str">
        <f>IF(G6="","",INDEX(DIFFERENTIATION_UNMERGE_AREA,MATCH(G6,DIFFERENTIATION_ID_DIFF,0)))</f>
        <v/>
      </c>
      <c r="H8" s="5499"/>
      <c r="I8" s="5498" t="str">
        <f>IF(I6="","",INDEX(DIFFERENTIATION_UNMERGE_AREA,MATCH(I6,DIFFERENTIATION_ID_DIFF,0)))</f>
        <v/>
      </c>
      <c r="J8" s="5499"/>
      <c r="K8" s="5316"/>
      <c r="L8" s="445"/>
      <c r="X8" s="441">
        <v>11</v>
      </c>
    </row>
    <row r="9" spans="1:24" ht="11.45" customHeight="1">
      <c r="A9" s="640"/>
      <c r="D9" s="647"/>
      <c r="E9" s="5478" t="s">
        <v>597</v>
      </c>
      <c r="F9" s="5479"/>
      <c r="G9" s="5498" t="str">
        <f>IF(G6="","",INDEX(DIFFERENTIATION_UNMERGE_SYSTEM,MATCH(G6,DIFFERENTIATION_ID_DIFF,0)))</f>
        <v/>
      </c>
      <c r="H9" s="5499"/>
      <c r="I9" s="5498" t="str">
        <f>IF(I6="","",INDEX(DIFFERENTIATION_UNMERGE_SYSTEM,MATCH(I6,DIFFERENTIATION_ID_DIFF,0)))</f>
        <v>без дифференциации</v>
      </c>
      <c r="J9" s="5499"/>
      <c r="K9" s="5316"/>
      <c r="L9" s="445"/>
      <c r="X9" s="441">
        <v>11</v>
      </c>
    </row>
    <row r="10" spans="1:24" s="1561" customFormat="1" ht="11.45" customHeight="1">
      <c r="A10" s="950"/>
      <c r="B10" s="447"/>
      <c r="D10" s="5217" t="s">
        <v>327</v>
      </c>
      <c r="E10" s="5222"/>
      <c r="F10" s="5222"/>
      <c r="G10" s="5222"/>
      <c r="H10" s="5222"/>
      <c r="I10" s="5222"/>
      <c r="J10" s="5216"/>
      <c r="K10" s="5316"/>
      <c r="L10" s="445"/>
      <c r="X10" s="692">
        <v>11</v>
      </c>
    </row>
    <row r="11" spans="1:24" s="1561" customFormat="1" ht="24" customHeight="1">
      <c r="A11" s="5379"/>
      <c r="B11" s="5379"/>
      <c r="C11" s="593"/>
      <c r="D11" s="639" t="s">
        <v>90</v>
      </c>
      <c r="E11" s="641" t="s">
        <v>838</v>
      </c>
      <c r="F11" s="641" t="s">
        <v>598</v>
      </c>
      <c r="G11" s="401" t="s">
        <v>330</v>
      </c>
      <c r="H11" s="401" t="s">
        <v>417</v>
      </c>
      <c r="I11" s="737" t="s">
        <v>330</v>
      </c>
      <c r="J11" s="738" t="s">
        <v>417</v>
      </c>
      <c r="K11" s="5364"/>
      <c r="L11" s="594"/>
      <c r="X11" s="445">
        <v>23</v>
      </c>
    </row>
    <row r="12" spans="1:24" s="1568" customFormat="1" ht="10.5" customHeight="1">
      <c r="A12" s="881"/>
      <c r="D12" s="954" t="s">
        <v>111</v>
      </c>
      <c r="E12" s="954" t="s">
        <v>112</v>
      </c>
      <c r="F12" s="954" t="s">
        <v>92</v>
      </c>
      <c r="G12" s="955" t="str">
        <f>G1&amp;".1"</f>
        <v>4.1</v>
      </c>
      <c r="H12" s="955" t="str">
        <f>G1&amp;".2"</f>
        <v>4.2</v>
      </c>
      <c r="I12" s="955" t="str">
        <f>I1&amp;".1"</f>
        <v>4.1</v>
      </c>
      <c r="J12" s="955" t="str">
        <f>I1&amp;".2"</f>
        <v>4.2</v>
      </c>
      <c r="K12" s="955"/>
      <c r="X12" s="447">
        <v>10</v>
      </c>
    </row>
    <row r="13" spans="1:24" ht="22.5" customHeight="1">
      <c r="A13" s="5500" t="s">
        <v>839</v>
      </c>
      <c r="D13" s="882" t="s">
        <v>111</v>
      </c>
      <c r="E13" s="216" t="s">
        <v>840</v>
      </c>
      <c r="F13" s="596" t="s">
        <v>841</v>
      </c>
      <c r="G13" s="493"/>
      <c r="H13" s="597"/>
      <c r="I13" s="493"/>
      <c r="J13" s="597"/>
      <c r="K13" s="226" t="s">
        <v>842</v>
      </c>
      <c r="L13" s="656"/>
      <c r="X13" s="441">
        <v>0</v>
      </c>
    </row>
    <row r="14" spans="1:24" ht="22.5" customHeight="1">
      <c r="A14" s="5500"/>
      <c r="D14" s="475" t="s">
        <v>112</v>
      </c>
      <c r="E14" s="216" t="s">
        <v>843</v>
      </c>
      <c r="F14" s="596" t="s">
        <v>844</v>
      </c>
      <c r="G14" s="493"/>
      <c r="H14" s="598"/>
      <c r="I14" s="493"/>
      <c r="J14" s="598"/>
      <c r="K14" s="226" t="s">
        <v>845</v>
      </c>
      <c r="L14" s="656"/>
      <c r="X14" s="441">
        <v>0</v>
      </c>
    </row>
    <row r="15" spans="1:24" s="1561" customFormat="1" ht="78.75" customHeight="1">
      <c r="A15" s="5500"/>
      <c r="B15" s="447"/>
      <c r="D15" s="882" t="s">
        <v>92</v>
      </c>
      <c r="E15" s="643" t="s">
        <v>846</v>
      </c>
      <c r="F15" s="879" t="s">
        <v>333</v>
      </c>
      <c r="G15" s="879" t="s">
        <v>333</v>
      </c>
      <c r="H15" s="46"/>
      <c r="I15" s="879" t="s">
        <v>333</v>
      </c>
      <c r="J15" s="46"/>
      <c r="K15" s="226" t="s">
        <v>847</v>
      </c>
      <c r="L15" s="656"/>
      <c r="X15" s="692">
        <v>0</v>
      </c>
    </row>
    <row r="16" spans="1:24" s="1561" customFormat="1" ht="22.5" customHeight="1">
      <c r="A16" s="5500"/>
      <c r="B16" s="447"/>
      <c r="D16" s="882" t="s">
        <v>351</v>
      </c>
      <c r="E16" s="883" t="s">
        <v>848</v>
      </c>
      <c r="F16" s="879" t="s">
        <v>849</v>
      </c>
      <c r="G16" s="747"/>
      <c r="H16" s="46"/>
      <c r="I16" s="747"/>
      <c r="J16" s="46"/>
      <c r="K16" s="226"/>
      <c r="L16" s="656"/>
      <c r="X16" s="692">
        <v>0</v>
      </c>
    </row>
    <row r="17" spans="1:24" s="1561" customFormat="1" ht="22.5" customHeight="1">
      <c r="A17" s="5500"/>
      <c r="B17" s="447"/>
      <c r="D17" s="882" t="s">
        <v>359</v>
      </c>
      <c r="E17" s="883" t="s">
        <v>850</v>
      </c>
      <c r="F17" s="879" t="s">
        <v>851</v>
      </c>
      <c r="G17" s="747"/>
      <c r="H17" s="46"/>
      <c r="I17" s="747"/>
      <c r="J17" s="46"/>
      <c r="K17" s="226"/>
      <c r="L17" s="656"/>
      <c r="X17" s="692">
        <v>0</v>
      </c>
    </row>
    <row r="18" spans="1:24" s="1561" customFormat="1" ht="33.75" customHeight="1">
      <c r="A18" s="5500"/>
      <c r="B18" s="447"/>
      <c r="D18" s="882" t="s">
        <v>361</v>
      </c>
      <c r="E18" s="883" t="s">
        <v>852</v>
      </c>
      <c r="F18" s="879" t="s">
        <v>603</v>
      </c>
      <c r="G18" s="616"/>
      <c r="H18" s="46"/>
      <c r="I18" s="616"/>
      <c r="J18" s="46"/>
      <c r="K18" s="226"/>
      <c r="L18" s="656"/>
      <c r="X18" s="692">
        <v>0</v>
      </c>
    </row>
    <row r="19" spans="1:24" ht="101.25" customHeight="1">
      <c r="A19" s="5500"/>
      <c r="D19" s="882" t="s">
        <v>93</v>
      </c>
      <c r="E19" s="216" t="s">
        <v>853</v>
      </c>
      <c r="F19" s="596" t="s">
        <v>578</v>
      </c>
      <c r="G19" s="599"/>
      <c r="H19" s="598"/>
      <c r="I19" s="884"/>
      <c r="J19" s="598"/>
      <c r="K19" s="226" t="s">
        <v>854</v>
      </c>
      <c r="L19" s="656"/>
      <c r="X19" s="441">
        <v>0</v>
      </c>
    </row>
    <row r="20" spans="1:24" s="1561" customFormat="1" ht="18.75" customHeight="1">
      <c r="A20" s="5500"/>
      <c r="C20" s="885"/>
      <c r="D20" s="882" t="s">
        <v>785</v>
      </c>
      <c r="E20" s="883" t="s">
        <v>855</v>
      </c>
      <c r="F20" s="879" t="s">
        <v>333</v>
      </c>
      <c r="G20" s="879" t="s">
        <v>333</v>
      </c>
      <c r="H20" s="878" t="s">
        <v>333</v>
      </c>
      <c r="I20" s="879" t="s">
        <v>333</v>
      </c>
      <c r="J20" s="878" t="s">
        <v>333</v>
      </c>
      <c r="K20" s="877"/>
      <c r="L20" s="656"/>
      <c r="W20" s="611"/>
      <c r="X20" s="692">
        <v>0</v>
      </c>
    </row>
    <row r="21" spans="1:24" s="1561" customFormat="1" ht="33.75" customHeight="1">
      <c r="A21" s="5500"/>
      <c r="C21" s="885"/>
      <c r="D21" s="882" t="s">
        <v>788</v>
      </c>
      <c r="E21" s="512" t="s">
        <v>856</v>
      </c>
      <c r="F21" s="879" t="s">
        <v>857</v>
      </c>
      <c r="G21" s="616"/>
      <c r="H21" s="46"/>
      <c r="I21" s="616"/>
      <c r="J21" s="46"/>
      <c r="K21" s="877"/>
      <c r="L21" s="656"/>
      <c r="W21" s="611"/>
      <c r="X21" s="692">
        <v>0</v>
      </c>
    </row>
    <row r="22" spans="1:24" s="1561" customFormat="1" ht="33.75" customHeight="1">
      <c r="A22" s="5500"/>
      <c r="C22" s="885"/>
      <c r="D22" s="882" t="s">
        <v>791</v>
      </c>
      <c r="E22" s="512" t="s">
        <v>858</v>
      </c>
      <c r="F22" s="879" t="s">
        <v>859</v>
      </c>
      <c r="G22" s="616"/>
      <c r="H22" s="46"/>
      <c r="I22" s="616"/>
      <c r="J22" s="46"/>
      <c r="K22" s="877"/>
      <c r="L22" s="656"/>
      <c r="W22" s="611"/>
      <c r="X22" s="692">
        <v>0</v>
      </c>
    </row>
    <row r="23" spans="1:24" s="1561" customFormat="1" ht="22.5" customHeight="1">
      <c r="A23" s="5500"/>
      <c r="C23" s="885"/>
      <c r="D23" s="882" t="s">
        <v>827</v>
      </c>
      <c r="E23" s="883" t="s">
        <v>860</v>
      </c>
      <c r="F23" s="879" t="s">
        <v>333</v>
      </c>
      <c r="G23" s="879" t="s">
        <v>333</v>
      </c>
      <c r="H23" s="878" t="s">
        <v>333</v>
      </c>
      <c r="I23" s="879" t="s">
        <v>333</v>
      </c>
      <c r="J23" s="878" t="s">
        <v>333</v>
      </c>
      <c r="K23" s="877"/>
      <c r="L23" s="656"/>
      <c r="W23" s="611"/>
      <c r="X23" s="692">
        <v>0</v>
      </c>
    </row>
    <row r="24" spans="1:24" s="1561" customFormat="1" ht="22.5" customHeight="1">
      <c r="A24" s="5500"/>
      <c r="C24" s="885"/>
      <c r="D24" s="882" t="s">
        <v>861</v>
      </c>
      <c r="E24" s="512" t="s">
        <v>862</v>
      </c>
      <c r="F24" s="879" t="s">
        <v>863</v>
      </c>
      <c r="G24" s="616"/>
      <c r="H24" s="622"/>
      <c r="I24" s="616"/>
      <c r="J24" s="622"/>
      <c r="K24" s="877"/>
      <c r="L24" s="656"/>
      <c r="W24" s="611"/>
      <c r="X24" s="692">
        <v>0</v>
      </c>
    </row>
    <row r="25" spans="1:24" s="1561" customFormat="1" ht="22.5" customHeight="1">
      <c r="A25" s="5500"/>
      <c r="C25" s="885"/>
      <c r="D25" s="882" t="s">
        <v>864</v>
      </c>
      <c r="E25" s="512" t="s">
        <v>865</v>
      </c>
      <c r="F25" s="879" t="s">
        <v>333</v>
      </c>
      <c r="G25" s="879" t="s">
        <v>333</v>
      </c>
      <c r="H25" s="878" t="s">
        <v>333</v>
      </c>
      <c r="I25" s="879" t="s">
        <v>333</v>
      </c>
      <c r="J25" s="878" t="s">
        <v>333</v>
      </c>
      <c r="K25" s="877"/>
      <c r="L25" s="656"/>
      <c r="W25" s="611"/>
      <c r="X25" s="692">
        <v>0</v>
      </c>
    </row>
    <row r="26" spans="1:24" s="1561" customFormat="1" ht="18.75" customHeight="1">
      <c r="A26" s="5500"/>
      <c r="C26" s="885"/>
      <c r="D26" s="882" t="s">
        <v>866</v>
      </c>
      <c r="E26" s="489" t="s">
        <v>867</v>
      </c>
      <c r="F26" s="879" t="s">
        <v>868</v>
      </c>
      <c r="G26" s="616"/>
      <c r="H26" s="622"/>
      <c r="I26" s="616"/>
      <c r="J26" s="622"/>
      <c r="K26" s="877"/>
      <c r="L26" s="656"/>
      <c r="W26" s="611"/>
      <c r="X26" s="692">
        <v>0</v>
      </c>
    </row>
    <row r="27" spans="1:24" s="1561" customFormat="1" ht="18.75" customHeight="1">
      <c r="A27" s="5500"/>
      <c r="C27" s="885"/>
      <c r="D27" s="882" t="s">
        <v>869</v>
      </c>
      <c r="E27" s="489" t="s">
        <v>870</v>
      </c>
      <c r="F27" s="879" t="s">
        <v>871</v>
      </c>
      <c r="G27" s="616"/>
      <c r="H27" s="622"/>
      <c r="I27" s="616"/>
      <c r="J27" s="622"/>
      <c r="K27" s="877"/>
      <c r="L27" s="656"/>
      <c r="W27" s="611"/>
      <c r="X27" s="692">
        <v>0</v>
      </c>
    </row>
    <row r="28" spans="1:24" s="1561" customFormat="1" ht="18.75" customHeight="1">
      <c r="A28" s="5500"/>
      <c r="C28" s="885"/>
      <c r="D28" s="882" t="s">
        <v>872</v>
      </c>
      <c r="E28" s="512" t="s">
        <v>873</v>
      </c>
      <c r="F28" s="879" t="s">
        <v>333</v>
      </c>
      <c r="G28" s="879" t="s">
        <v>333</v>
      </c>
      <c r="H28" s="878" t="s">
        <v>333</v>
      </c>
      <c r="I28" s="879" t="s">
        <v>333</v>
      </c>
      <c r="J28" s="878" t="s">
        <v>333</v>
      </c>
      <c r="K28" s="877"/>
      <c r="L28" s="656"/>
      <c r="W28" s="611"/>
      <c r="X28" s="692">
        <v>0</v>
      </c>
    </row>
    <row r="29" spans="1:24" s="1561" customFormat="1" ht="18.75" customHeight="1">
      <c r="A29" s="5500"/>
      <c r="C29" s="885"/>
      <c r="D29" s="882" t="s">
        <v>874</v>
      </c>
      <c r="E29" s="489" t="s">
        <v>867</v>
      </c>
      <c r="F29" s="879" t="s">
        <v>875</v>
      </c>
      <c r="G29" s="616"/>
      <c r="H29" s="622"/>
      <c r="I29" s="616"/>
      <c r="J29" s="622"/>
      <c r="K29" s="877"/>
      <c r="L29" s="656"/>
      <c r="W29" s="611"/>
      <c r="X29" s="692">
        <v>0</v>
      </c>
    </row>
    <row r="30" spans="1:24" s="1561" customFormat="1" ht="18.75" customHeight="1">
      <c r="A30" s="5500"/>
      <c r="C30" s="885"/>
      <c r="D30" s="882" t="s">
        <v>876</v>
      </c>
      <c r="E30" s="489" t="s">
        <v>877</v>
      </c>
      <c r="F30" s="879" t="s">
        <v>878</v>
      </c>
      <c r="G30" s="616"/>
      <c r="H30" s="622"/>
      <c r="I30" s="616"/>
      <c r="J30" s="622"/>
      <c r="K30" s="877"/>
      <c r="L30" s="656"/>
      <c r="W30" s="611"/>
      <c r="X30" s="692">
        <v>0</v>
      </c>
    </row>
    <row r="31" spans="1:24" ht="126.75" customHeight="1">
      <c r="A31" s="5500"/>
      <c r="D31" s="882" t="s">
        <v>113</v>
      </c>
      <c r="E31" s="216" t="s">
        <v>879</v>
      </c>
      <c r="F31" s="596" t="s">
        <v>590</v>
      </c>
      <c r="G31" s="493"/>
      <c r="H31" s="598"/>
      <c r="I31" s="493"/>
      <c r="J31" s="598"/>
      <c r="K31" s="226" t="s">
        <v>880</v>
      </c>
      <c r="L31" s="656"/>
      <c r="X31" s="441">
        <v>0</v>
      </c>
    </row>
    <row r="32" spans="1:24" ht="56.25" customHeight="1">
      <c r="A32" s="5500"/>
      <c r="D32" s="882" t="s">
        <v>94</v>
      </c>
      <c r="E32" s="216" t="s">
        <v>881</v>
      </c>
      <c r="F32" s="475" t="s">
        <v>851</v>
      </c>
      <c r="G32" s="493"/>
      <c r="H32" s="598"/>
      <c r="I32" s="493"/>
      <c r="J32" s="598"/>
      <c r="K32" s="226" t="s">
        <v>882</v>
      </c>
      <c r="L32" s="656"/>
      <c r="X32" s="441">
        <v>0</v>
      </c>
    </row>
    <row r="33" spans="1:24" ht="11.25" customHeight="1">
      <c r="A33" s="5500"/>
      <c r="E33" s="600"/>
      <c r="F33" s="119"/>
      <c r="G33" s="119"/>
      <c r="H33" s="119"/>
      <c r="I33" s="119"/>
      <c r="J33" s="119"/>
      <c r="K33" s="119"/>
      <c r="X33" s="441">
        <v>0</v>
      </c>
    </row>
    <row r="34" spans="1:24" ht="12.75" customHeight="1">
      <c r="A34" s="5500"/>
      <c r="D34" s="5">
        <v>1</v>
      </c>
      <c r="E34" s="272" t="s">
        <v>883</v>
      </c>
      <c r="X34" s="441">
        <v>0</v>
      </c>
    </row>
    <row r="35" spans="1:24" ht="11.25" customHeight="1">
      <c r="A35" s="5500"/>
      <c r="D35" s="305"/>
      <c r="E35" s="272" t="s">
        <v>884</v>
      </c>
      <c r="X35" s="441">
        <v>0</v>
      </c>
    </row>
    <row r="36" spans="1:24" s="1561" customFormat="1" ht="11.45" customHeight="1">
      <c r="A36" s="962"/>
      <c r="B36" s="454"/>
      <c r="D36" s="963"/>
      <c r="E36" s="964"/>
      <c r="X36" s="445">
        <v>11</v>
      </c>
    </row>
    <row r="37" spans="1:24" s="1561" customFormat="1" ht="22.5" hidden="1" customHeight="1">
      <c r="A37" s="5500" t="s">
        <v>885</v>
      </c>
      <c r="B37" s="447"/>
      <c r="D37" s="882">
        <v>1</v>
      </c>
      <c r="E37" s="643" t="s">
        <v>886</v>
      </c>
      <c r="F37" s="596" t="s">
        <v>841</v>
      </c>
      <c r="G37" s="493"/>
      <c r="H37" s="455"/>
      <c r="I37" s="493"/>
      <c r="J37" s="455"/>
      <c r="K37" s="226" t="s">
        <v>887</v>
      </c>
      <c r="X37" s="692">
        <v>0</v>
      </c>
    </row>
    <row r="38" spans="1:24" s="1561" customFormat="1" ht="22.5" hidden="1" customHeight="1">
      <c r="A38" s="5500"/>
      <c r="B38" s="447"/>
      <c r="D38" s="605" t="s">
        <v>112</v>
      </c>
      <c r="E38" s="961" t="s">
        <v>888</v>
      </c>
      <c r="F38" s="965" t="s">
        <v>578</v>
      </c>
      <c r="G38" s="965" t="s">
        <v>578</v>
      </c>
      <c r="H38" s="959"/>
      <c r="I38" s="965" t="s">
        <v>578</v>
      </c>
      <c r="J38" s="959"/>
      <c r="K38" s="960"/>
      <c r="X38" s="692">
        <v>0</v>
      </c>
    </row>
    <row r="39" spans="1:24" s="1561" customFormat="1" ht="33.75" hidden="1" customHeight="1">
      <c r="A39" s="5500"/>
      <c r="B39" s="447"/>
      <c r="D39" s="601" t="s">
        <v>743</v>
      </c>
      <c r="E39" s="659" t="s">
        <v>889</v>
      </c>
      <c r="F39" s="596" t="s">
        <v>890</v>
      </c>
      <c r="G39" s="604"/>
      <c r="H39" s="952"/>
      <c r="I39" s="604"/>
      <c r="J39" s="952"/>
      <c r="K39" s="226" t="s">
        <v>891</v>
      </c>
      <c r="X39" s="692">
        <v>0</v>
      </c>
    </row>
    <row r="40" spans="1:24" s="1561" customFormat="1" ht="33.75" hidden="1" customHeight="1">
      <c r="A40" s="5500"/>
      <c r="B40" s="447"/>
      <c r="D40" s="601" t="s">
        <v>746</v>
      </c>
      <c r="E40" s="659" t="s">
        <v>892</v>
      </c>
      <c r="F40" s="956" t="s">
        <v>893</v>
      </c>
      <c r="G40" s="677"/>
      <c r="H40" s="952"/>
      <c r="I40" s="677"/>
      <c r="J40" s="952"/>
      <c r="K40" s="226" t="s">
        <v>894</v>
      </c>
      <c r="X40" s="692">
        <v>0</v>
      </c>
    </row>
    <row r="41" spans="1:24" s="1561" customFormat="1" ht="22.5" hidden="1" customHeight="1">
      <c r="A41" s="5500"/>
      <c r="B41" s="447"/>
      <c r="D41" s="601" t="s">
        <v>92</v>
      </c>
      <c r="E41" s="658" t="s">
        <v>895</v>
      </c>
      <c r="F41" s="596" t="s">
        <v>578</v>
      </c>
      <c r="G41" s="596" t="s">
        <v>578</v>
      </c>
      <c r="H41" s="953"/>
      <c r="I41" s="596" t="s">
        <v>578</v>
      </c>
      <c r="J41" s="953"/>
      <c r="K41" s="239"/>
      <c r="X41" s="692">
        <v>0</v>
      </c>
    </row>
    <row r="42" spans="1:24" s="1561" customFormat="1" ht="45" hidden="1" customHeight="1">
      <c r="A42" s="5500"/>
      <c r="B42" s="447"/>
      <c r="D42" s="601" t="s">
        <v>351</v>
      </c>
      <c r="E42" s="659" t="s">
        <v>896</v>
      </c>
      <c r="F42" s="596" t="s">
        <v>590</v>
      </c>
      <c r="G42" s="493"/>
      <c r="H42" s="953"/>
      <c r="I42" s="493"/>
      <c r="J42" s="953"/>
      <c r="K42" s="239" t="s">
        <v>897</v>
      </c>
      <c r="X42" s="692">
        <v>0</v>
      </c>
    </row>
    <row r="43" spans="1:24" s="1561" customFormat="1" ht="45" hidden="1" customHeight="1">
      <c r="A43" s="5500"/>
      <c r="B43" s="447"/>
      <c r="D43" s="601" t="s">
        <v>359</v>
      </c>
      <c r="E43" s="603" t="s">
        <v>898</v>
      </c>
      <c r="F43" s="957" t="s">
        <v>590</v>
      </c>
      <c r="G43" s="678"/>
      <c r="H43" s="952"/>
      <c r="I43" s="678"/>
      <c r="J43" s="952"/>
      <c r="K43" s="239" t="s">
        <v>899</v>
      </c>
      <c r="X43" s="692">
        <v>0</v>
      </c>
    </row>
    <row r="44" spans="1:24" s="1561" customFormat="1" ht="11.25" hidden="1" customHeight="1">
      <c r="A44" s="5500"/>
      <c r="B44" s="447"/>
      <c r="D44" s="601" t="s">
        <v>93</v>
      </c>
      <c r="E44" s="602" t="s">
        <v>900</v>
      </c>
      <c r="F44" s="596" t="s">
        <v>890</v>
      </c>
      <c r="G44" s="604"/>
      <c r="H44" s="952"/>
      <c r="I44" s="604"/>
      <c r="J44" s="952"/>
      <c r="K44" s="226"/>
      <c r="X44" s="692">
        <v>0</v>
      </c>
    </row>
    <row r="45" spans="1:24" s="1561" customFormat="1" ht="11.25" hidden="1" customHeight="1">
      <c r="A45" s="5500"/>
      <c r="B45" s="447"/>
      <c r="D45" s="601" t="s">
        <v>785</v>
      </c>
      <c r="E45" s="603" t="s">
        <v>901</v>
      </c>
      <c r="F45" s="596" t="s">
        <v>890</v>
      </c>
      <c r="G45" s="604"/>
      <c r="H45" s="952"/>
      <c r="I45" s="604"/>
      <c r="J45" s="952"/>
      <c r="K45" s="226"/>
      <c r="X45" s="692">
        <v>0</v>
      </c>
    </row>
    <row r="46" spans="1:24" s="1561" customFormat="1" ht="11.25" hidden="1" customHeight="1">
      <c r="A46" s="5500"/>
      <c r="B46" s="447"/>
      <c r="D46" s="601" t="s">
        <v>827</v>
      </c>
      <c r="E46" s="603" t="s">
        <v>902</v>
      </c>
      <c r="F46" s="596" t="s">
        <v>890</v>
      </c>
      <c r="G46" s="604"/>
      <c r="H46" s="952"/>
      <c r="I46" s="604"/>
      <c r="J46" s="952"/>
      <c r="K46" s="226"/>
      <c r="X46" s="692">
        <v>0</v>
      </c>
    </row>
    <row r="47" spans="1:24" s="1561" customFormat="1" ht="11.25" hidden="1" customHeight="1">
      <c r="A47" s="5500"/>
      <c r="B47" s="447"/>
      <c r="D47" s="601" t="s">
        <v>830</v>
      </c>
      <c r="E47" s="603" t="s">
        <v>903</v>
      </c>
      <c r="F47" s="596" t="s">
        <v>890</v>
      </c>
      <c r="G47" s="604"/>
      <c r="H47" s="952"/>
      <c r="I47" s="604"/>
      <c r="J47" s="952"/>
      <c r="K47" s="226"/>
      <c r="X47" s="692">
        <v>0</v>
      </c>
    </row>
    <row r="48" spans="1:24" s="1561" customFormat="1" ht="11.25" hidden="1" customHeight="1">
      <c r="A48" s="5500"/>
      <c r="B48" s="447"/>
      <c r="D48" s="601" t="s">
        <v>904</v>
      </c>
      <c r="E48" s="607" t="s">
        <v>905</v>
      </c>
      <c r="F48" s="596" t="s">
        <v>890</v>
      </c>
      <c r="G48" s="604"/>
      <c r="H48" s="952"/>
      <c r="I48" s="604"/>
      <c r="J48" s="952"/>
      <c r="K48" s="226"/>
      <c r="X48" s="692">
        <v>0</v>
      </c>
    </row>
    <row r="49" spans="1:24" s="1561" customFormat="1" ht="11.25" hidden="1" customHeight="1">
      <c r="A49" s="5500"/>
      <c r="B49" s="447"/>
      <c r="D49" s="601" t="s">
        <v>906</v>
      </c>
      <c r="E49" s="607" t="s">
        <v>907</v>
      </c>
      <c r="F49" s="596" t="s">
        <v>890</v>
      </c>
      <c r="G49" s="604"/>
      <c r="H49" s="952"/>
      <c r="I49" s="604"/>
      <c r="J49" s="952"/>
      <c r="K49" s="226"/>
      <c r="X49" s="692">
        <v>0</v>
      </c>
    </row>
    <row r="50" spans="1:24" s="1561" customFormat="1" ht="11.25" hidden="1" customHeight="1">
      <c r="A50" s="5500"/>
      <c r="B50" s="447"/>
      <c r="D50" s="601" t="s">
        <v>908</v>
      </c>
      <c r="E50" s="603" t="s">
        <v>909</v>
      </c>
      <c r="F50" s="596" t="s">
        <v>890</v>
      </c>
      <c r="G50" s="604"/>
      <c r="H50" s="952"/>
      <c r="I50" s="604"/>
      <c r="J50" s="952"/>
      <c r="K50" s="226"/>
      <c r="X50" s="692">
        <v>0</v>
      </c>
    </row>
    <row r="51" spans="1:24" s="1561" customFormat="1" ht="11.25" hidden="1" customHeight="1">
      <c r="A51" s="5500"/>
      <c r="B51" s="447"/>
      <c r="D51" s="601" t="s">
        <v>910</v>
      </c>
      <c r="E51" s="603" t="s">
        <v>911</v>
      </c>
      <c r="F51" s="596" t="s">
        <v>890</v>
      </c>
      <c r="G51" s="604"/>
      <c r="H51" s="952"/>
      <c r="I51" s="604"/>
      <c r="J51" s="952"/>
      <c r="K51" s="226"/>
      <c r="X51" s="692">
        <v>0</v>
      </c>
    </row>
    <row r="52" spans="1:24" s="1561" customFormat="1" ht="45" hidden="1" customHeight="1">
      <c r="A52" s="5500"/>
      <c r="B52" s="447"/>
      <c r="D52" s="601" t="s">
        <v>113</v>
      </c>
      <c r="E52" s="602" t="s">
        <v>912</v>
      </c>
      <c r="F52" s="596" t="s">
        <v>890</v>
      </c>
      <c r="G52" s="604"/>
      <c r="H52" s="952"/>
      <c r="I52" s="604"/>
      <c r="J52" s="952"/>
      <c r="K52" s="226"/>
      <c r="X52" s="692">
        <v>0</v>
      </c>
    </row>
    <row r="53" spans="1:24" s="1561" customFormat="1" ht="11.25" hidden="1" customHeight="1">
      <c r="A53" s="5500"/>
      <c r="B53" s="447"/>
      <c r="D53" s="601" t="s">
        <v>340</v>
      </c>
      <c r="E53" s="603" t="s">
        <v>901</v>
      </c>
      <c r="F53" s="596" t="s">
        <v>890</v>
      </c>
      <c r="G53" s="604"/>
      <c r="H53" s="952"/>
      <c r="I53" s="604"/>
      <c r="J53" s="952"/>
      <c r="K53" s="226"/>
      <c r="X53" s="692">
        <v>0</v>
      </c>
    </row>
    <row r="54" spans="1:24" s="1561" customFormat="1" ht="11.25" hidden="1" customHeight="1">
      <c r="A54" s="5500"/>
      <c r="B54" s="447"/>
      <c r="D54" s="601" t="s">
        <v>913</v>
      </c>
      <c r="E54" s="603" t="s">
        <v>902</v>
      </c>
      <c r="F54" s="596" t="s">
        <v>890</v>
      </c>
      <c r="G54" s="604"/>
      <c r="H54" s="952"/>
      <c r="I54" s="604"/>
      <c r="J54" s="952"/>
      <c r="K54" s="226"/>
      <c r="X54" s="692">
        <v>0</v>
      </c>
    </row>
    <row r="55" spans="1:24" s="1561" customFormat="1" ht="11.25" hidden="1" customHeight="1">
      <c r="A55" s="5500"/>
      <c r="B55" s="447"/>
      <c r="D55" s="601" t="s">
        <v>914</v>
      </c>
      <c r="E55" s="603" t="s">
        <v>903</v>
      </c>
      <c r="F55" s="596" t="s">
        <v>890</v>
      </c>
      <c r="G55" s="604"/>
      <c r="H55" s="952"/>
      <c r="I55" s="604"/>
      <c r="J55" s="952"/>
      <c r="K55" s="226"/>
      <c r="X55" s="692">
        <v>0</v>
      </c>
    </row>
    <row r="56" spans="1:24" s="1561" customFormat="1" ht="11.25" hidden="1" customHeight="1">
      <c r="A56" s="5500"/>
      <c r="B56" s="447"/>
      <c r="D56" s="601" t="s">
        <v>915</v>
      </c>
      <c r="E56" s="607" t="s">
        <v>905</v>
      </c>
      <c r="F56" s="596" t="s">
        <v>890</v>
      </c>
      <c r="G56" s="604"/>
      <c r="H56" s="952"/>
      <c r="I56" s="604"/>
      <c r="J56" s="952"/>
      <c r="K56" s="226"/>
      <c r="X56" s="692">
        <v>0</v>
      </c>
    </row>
    <row r="57" spans="1:24" s="1561" customFormat="1" ht="11.25" hidden="1" customHeight="1">
      <c r="A57" s="5500"/>
      <c r="B57" s="447"/>
      <c r="D57" s="601" t="s">
        <v>916</v>
      </c>
      <c r="E57" s="607" t="s">
        <v>907</v>
      </c>
      <c r="F57" s="596" t="s">
        <v>890</v>
      </c>
      <c r="G57" s="604"/>
      <c r="H57" s="952"/>
      <c r="I57" s="604"/>
      <c r="J57" s="952"/>
      <c r="K57" s="226"/>
      <c r="X57" s="692">
        <v>0</v>
      </c>
    </row>
    <row r="58" spans="1:24" s="1561" customFormat="1" ht="11.25" hidden="1" customHeight="1">
      <c r="A58" s="5500"/>
      <c r="B58" s="447"/>
      <c r="D58" s="601" t="s">
        <v>917</v>
      </c>
      <c r="E58" s="603" t="s">
        <v>909</v>
      </c>
      <c r="F58" s="596" t="s">
        <v>890</v>
      </c>
      <c r="G58" s="604"/>
      <c r="H58" s="952"/>
      <c r="I58" s="604"/>
      <c r="J58" s="952"/>
      <c r="K58" s="226"/>
      <c r="X58" s="692">
        <v>0</v>
      </c>
    </row>
    <row r="59" spans="1:24" s="1561" customFormat="1" ht="11.25" hidden="1" customHeight="1">
      <c r="A59" s="5500"/>
      <c r="B59" s="447"/>
      <c r="D59" s="601" t="s">
        <v>918</v>
      </c>
      <c r="E59" s="603" t="s">
        <v>911</v>
      </c>
      <c r="F59" s="596" t="s">
        <v>890</v>
      </c>
      <c r="G59" s="604"/>
      <c r="H59" s="952"/>
      <c r="I59" s="604"/>
      <c r="J59" s="952"/>
      <c r="K59" s="226"/>
      <c r="X59" s="692">
        <v>0</v>
      </c>
    </row>
    <row r="60" spans="1:24" s="1561" customFormat="1" ht="33.75" hidden="1" customHeight="1">
      <c r="A60" s="5500"/>
      <c r="B60" s="447"/>
      <c r="D60" s="601" t="s">
        <v>94</v>
      </c>
      <c r="E60" s="602" t="s">
        <v>919</v>
      </c>
      <c r="F60" s="657" t="s">
        <v>590</v>
      </c>
      <c r="G60" s="678"/>
      <c r="H60" s="952"/>
      <c r="I60" s="678"/>
      <c r="J60" s="952"/>
      <c r="K60" s="239" t="s">
        <v>920</v>
      </c>
      <c r="X60" s="692">
        <v>0</v>
      </c>
    </row>
    <row r="61" spans="1:24" s="1561" customFormat="1" ht="33.75" hidden="1" customHeight="1">
      <c r="A61" s="5500"/>
      <c r="B61" s="447"/>
      <c r="D61" s="601" t="s">
        <v>95</v>
      </c>
      <c r="E61" s="602" t="s">
        <v>921</v>
      </c>
      <c r="F61" s="662" t="s">
        <v>851</v>
      </c>
      <c r="G61" s="604"/>
      <c r="H61" s="952"/>
      <c r="I61" s="604"/>
      <c r="J61" s="952"/>
      <c r="K61" s="226"/>
      <c r="X61" s="692">
        <v>0</v>
      </c>
    </row>
    <row r="62" spans="1:24" s="1561" customFormat="1" ht="22.5" hidden="1" customHeight="1">
      <c r="A62" s="5500"/>
      <c r="B62" s="447" t="s">
        <v>620</v>
      </c>
      <c r="D62" s="601" t="s">
        <v>114</v>
      </c>
      <c r="E62" s="602" t="s">
        <v>922</v>
      </c>
      <c r="F62" s="662" t="s">
        <v>333</v>
      </c>
      <c r="G62" s="318"/>
      <c r="H62" s="952"/>
      <c r="I62" s="318"/>
      <c r="J62" s="952"/>
      <c r="K62" s="226" t="s">
        <v>663</v>
      </c>
      <c r="X62" s="692">
        <v>0</v>
      </c>
    </row>
    <row r="63" spans="1:24" s="1561" customFormat="1" ht="45" hidden="1" customHeight="1">
      <c r="A63" s="5500"/>
      <c r="B63" s="447" t="s">
        <v>620</v>
      </c>
      <c r="D63" s="601" t="s">
        <v>923</v>
      </c>
      <c r="E63" s="603" t="s">
        <v>924</v>
      </c>
      <c r="F63" s="657" t="s">
        <v>333</v>
      </c>
      <c r="G63" s="318"/>
      <c r="H63" s="952"/>
      <c r="I63" s="318"/>
      <c r="J63" s="952"/>
      <c r="K63" s="226" t="s">
        <v>663</v>
      </c>
      <c r="X63" s="692">
        <v>0</v>
      </c>
    </row>
    <row r="64" spans="1:24" s="1561" customFormat="1" ht="11.45" customHeight="1">
      <c r="A64" s="962"/>
      <c r="B64" s="454"/>
      <c r="D64" s="963"/>
      <c r="E64" s="964"/>
      <c r="X64" s="445">
        <v>11</v>
      </c>
    </row>
    <row r="65" spans="1:24" s="1561" customFormat="1" ht="22.5" hidden="1" customHeight="1">
      <c r="A65" s="5500" t="s">
        <v>925</v>
      </c>
      <c r="B65" s="447"/>
      <c r="D65" s="601">
        <v>1</v>
      </c>
      <c r="E65" s="680" t="s">
        <v>926</v>
      </c>
      <c r="F65" s="676" t="s">
        <v>841</v>
      </c>
      <c r="G65" s="677"/>
      <c r="H65" s="958"/>
      <c r="I65" s="677"/>
      <c r="J65" s="958"/>
      <c r="K65" s="238" t="s">
        <v>927</v>
      </c>
      <c r="X65" s="692">
        <v>0</v>
      </c>
    </row>
    <row r="66" spans="1:24" s="1561" customFormat="1" ht="56.25" hidden="1" customHeight="1">
      <c r="A66" s="5500"/>
      <c r="B66" s="447"/>
      <c r="D66" s="679" t="s">
        <v>112</v>
      </c>
      <c r="E66" s="643" t="s">
        <v>928</v>
      </c>
      <c r="F66" s="596" t="s">
        <v>578</v>
      </c>
      <c r="G66" s="596" t="s">
        <v>578</v>
      </c>
      <c r="H66" s="455"/>
      <c r="I66" s="596" t="s">
        <v>578</v>
      </c>
      <c r="J66" s="455"/>
      <c r="K66" s="226"/>
      <c r="X66" s="692">
        <v>0</v>
      </c>
    </row>
    <row r="67" spans="1:24" s="1561" customFormat="1" ht="33.75" hidden="1" customHeight="1">
      <c r="A67" s="5500"/>
      <c r="B67" s="447"/>
      <c r="D67" s="679" t="s">
        <v>740</v>
      </c>
      <c r="E67" s="883" t="s">
        <v>929</v>
      </c>
      <c r="F67" s="596" t="s">
        <v>893</v>
      </c>
      <c r="G67" s="663"/>
      <c r="H67" s="455"/>
      <c r="I67" s="663"/>
      <c r="J67" s="455"/>
      <c r="K67" s="226"/>
      <c r="X67" s="692">
        <v>0</v>
      </c>
    </row>
    <row r="68" spans="1:24" s="1561" customFormat="1" ht="22.5" hidden="1" customHeight="1">
      <c r="A68" s="5500"/>
      <c r="B68" s="447"/>
      <c r="D68" s="679" t="s">
        <v>334</v>
      </c>
      <c r="E68" s="883" t="s">
        <v>930</v>
      </c>
      <c r="F68" s="596" t="s">
        <v>893</v>
      </c>
      <c r="G68" s="663"/>
      <c r="H68" s="455"/>
      <c r="I68" s="663"/>
      <c r="J68" s="455"/>
      <c r="K68" s="226"/>
      <c r="X68" s="692">
        <v>0</v>
      </c>
    </row>
    <row r="69" spans="1:24" s="1561" customFormat="1" ht="22.5" hidden="1" customHeight="1">
      <c r="A69" s="5500"/>
      <c r="B69" s="447"/>
      <c r="D69" s="679" t="s">
        <v>337</v>
      </c>
      <c r="E69" s="883" t="s">
        <v>931</v>
      </c>
      <c r="F69" s="657" t="s">
        <v>590</v>
      </c>
      <c r="G69" s="678"/>
      <c r="H69" s="455"/>
      <c r="I69" s="678"/>
      <c r="J69" s="455"/>
      <c r="K69" s="226"/>
      <c r="X69" s="692">
        <v>0</v>
      </c>
    </row>
    <row r="70" spans="1:24" s="1561" customFormat="1" ht="22.5" hidden="1" customHeight="1">
      <c r="A70" s="5500"/>
      <c r="B70" s="447"/>
      <c r="D70" s="679" t="s">
        <v>760</v>
      </c>
      <c r="E70" s="883" t="s">
        <v>932</v>
      </c>
      <c r="F70" s="657" t="s">
        <v>590</v>
      </c>
      <c r="G70" s="678"/>
      <c r="H70" s="455"/>
      <c r="I70" s="678"/>
      <c r="J70" s="455"/>
      <c r="K70" s="226"/>
      <c r="X70" s="692">
        <v>0</v>
      </c>
    </row>
    <row r="71" spans="1:24" s="1561" customFormat="1" ht="22.5" hidden="1" customHeight="1">
      <c r="A71" s="5500"/>
      <c r="B71" s="447"/>
      <c r="D71" s="601" t="s">
        <v>92</v>
      </c>
      <c r="E71" s="602" t="s">
        <v>933</v>
      </c>
      <c r="F71" s="596" t="s">
        <v>893</v>
      </c>
      <c r="G71" s="493"/>
      <c r="H71" s="959"/>
      <c r="I71" s="493"/>
      <c r="J71" s="959"/>
      <c r="K71" s="239"/>
      <c r="X71" s="692">
        <v>0</v>
      </c>
    </row>
    <row r="72" spans="1:24" s="1561" customFormat="1" ht="56.25" hidden="1" customHeight="1">
      <c r="A72" s="5500"/>
      <c r="B72" s="447"/>
      <c r="D72" s="601" t="s">
        <v>93</v>
      </c>
      <c r="E72" s="602" t="s">
        <v>934</v>
      </c>
      <c r="F72" s="657" t="s">
        <v>590</v>
      </c>
      <c r="G72" s="678"/>
      <c r="H72" s="952"/>
      <c r="I72" s="678"/>
      <c r="J72" s="952"/>
      <c r="K72" s="239"/>
      <c r="X72" s="692">
        <v>0</v>
      </c>
    </row>
    <row r="73" spans="1:24" s="1561" customFormat="1" ht="33.75" hidden="1" customHeight="1">
      <c r="A73" s="5500"/>
      <c r="B73" s="447"/>
      <c r="D73" s="601" t="s">
        <v>113</v>
      </c>
      <c r="E73" s="602" t="s">
        <v>935</v>
      </c>
      <c r="F73" s="662" t="s">
        <v>851</v>
      </c>
      <c r="G73" s="604"/>
      <c r="H73" s="952"/>
      <c r="I73" s="604"/>
      <c r="J73" s="952"/>
      <c r="K73" s="226"/>
      <c r="X73" s="692">
        <v>0</v>
      </c>
    </row>
    <row r="74" spans="1:24" s="1561" customFormat="1" ht="22.5" hidden="1" customHeight="1">
      <c r="A74" s="5500"/>
      <c r="B74" s="447" t="s">
        <v>620</v>
      </c>
      <c r="D74" s="601" t="s">
        <v>94</v>
      </c>
      <c r="E74" s="602" t="s">
        <v>936</v>
      </c>
      <c r="F74" s="662" t="s">
        <v>333</v>
      </c>
      <c r="G74" s="318"/>
      <c r="H74" s="952"/>
      <c r="I74" s="318"/>
      <c r="J74" s="952"/>
      <c r="K74" s="226" t="s">
        <v>663</v>
      </c>
      <c r="X74" s="692">
        <v>0</v>
      </c>
    </row>
    <row r="75" spans="1:24" s="1561" customFormat="1" ht="45" hidden="1" customHeight="1">
      <c r="A75" s="5500"/>
      <c r="B75" s="447" t="s">
        <v>620</v>
      </c>
      <c r="D75" s="601" t="s">
        <v>684</v>
      </c>
      <c r="E75" s="603" t="s">
        <v>937</v>
      </c>
      <c r="F75" s="657" t="s">
        <v>333</v>
      </c>
      <c r="G75" s="318"/>
      <c r="H75" s="952"/>
      <c r="I75" s="318"/>
      <c r="J75" s="952"/>
      <c r="K75" s="226" t="s">
        <v>663</v>
      </c>
      <c r="X75" s="692">
        <v>0</v>
      </c>
    </row>
    <row r="76" spans="1:24" s="1561" customFormat="1" ht="11.45" customHeight="1">
      <c r="A76" s="962"/>
      <c r="B76" s="454"/>
      <c r="D76" s="963"/>
      <c r="E76" s="964"/>
      <c r="X76" s="445">
        <v>11</v>
      </c>
    </row>
    <row r="77" spans="1:24" s="1561" customFormat="1" ht="11.25" hidden="1" customHeight="1">
      <c r="A77" s="5500" t="s">
        <v>938</v>
      </c>
      <c r="B77" s="447"/>
      <c r="D77" s="601">
        <v>1</v>
      </c>
      <c r="E77" s="602" t="s">
        <v>939</v>
      </c>
      <c r="F77" s="657" t="s">
        <v>841</v>
      </c>
      <c r="G77" s="660"/>
      <c r="H77" s="952"/>
      <c r="I77" s="660"/>
      <c r="J77" s="952"/>
      <c r="K77" s="226" t="s">
        <v>940</v>
      </c>
      <c r="X77" s="692">
        <v>0</v>
      </c>
    </row>
    <row r="78" spans="1:24" s="1561" customFormat="1" ht="11.25" hidden="1" customHeight="1">
      <c r="A78" s="5500"/>
      <c r="B78" s="447"/>
      <c r="D78" s="601" t="s">
        <v>112</v>
      </c>
      <c r="E78" s="602" t="s">
        <v>941</v>
      </c>
      <c r="F78" s="657" t="s">
        <v>841</v>
      </c>
      <c r="G78" s="660"/>
      <c r="H78" s="952"/>
      <c r="I78" s="660"/>
      <c r="J78" s="952"/>
      <c r="K78" s="226" t="s">
        <v>942</v>
      </c>
      <c r="X78" s="692">
        <v>0</v>
      </c>
    </row>
    <row r="79" spans="1:24" s="1561" customFormat="1" ht="22.5" hidden="1" customHeight="1">
      <c r="A79" s="5500"/>
      <c r="B79" s="447"/>
      <c r="D79" s="601" t="s">
        <v>92</v>
      </c>
      <c r="E79" s="658" t="s">
        <v>943</v>
      </c>
      <c r="F79" s="596" t="s">
        <v>890</v>
      </c>
      <c r="G79" s="660"/>
      <c r="H79" s="952"/>
      <c r="I79" s="660"/>
      <c r="J79" s="952"/>
      <c r="K79" s="226" t="s">
        <v>944</v>
      </c>
      <c r="X79" s="692">
        <v>0</v>
      </c>
    </row>
    <row r="80" spans="1:24" s="1561" customFormat="1" ht="11.25" hidden="1" customHeight="1">
      <c r="A80" s="5500"/>
      <c r="B80" s="447"/>
      <c r="D80" s="601" t="s">
        <v>351</v>
      </c>
      <c r="E80" s="659" t="s">
        <v>945</v>
      </c>
      <c r="F80" s="596" t="s">
        <v>890</v>
      </c>
      <c r="G80" s="660"/>
      <c r="H80" s="952"/>
      <c r="I80" s="660"/>
      <c r="J80" s="952"/>
      <c r="K80" s="226"/>
      <c r="X80" s="692">
        <v>0</v>
      </c>
    </row>
    <row r="81" spans="1:24" s="1561" customFormat="1" ht="11.25" hidden="1" customHeight="1">
      <c r="A81" s="5500"/>
      <c r="B81" s="447"/>
      <c r="D81" s="601" t="s">
        <v>359</v>
      </c>
      <c r="E81" s="659" t="s">
        <v>946</v>
      </c>
      <c r="F81" s="596" t="s">
        <v>890</v>
      </c>
      <c r="G81" s="660"/>
      <c r="H81" s="952"/>
      <c r="I81" s="660"/>
      <c r="J81" s="952"/>
      <c r="K81" s="226"/>
      <c r="X81" s="692">
        <v>0</v>
      </c>
    </row>
    <row r="82" spans="1:24" s="1561" customFormat="1" ht="11.25" hidden="1" customHeight="1">
      <c r="A82" s="5500"/>
      <c r="B82" s="447"/>
      <c r="D82" s="601" t="s">
        <v>361</v>
      </c>
      <c r="E82" s="659" t="s">
        <v>947</v>
      </c>
      <c r="F82" s="596" t="s">
        <v>890</v>
      </c>
      <c r="G82" s="660"/>
      <c r="H82" s="952"/>
      <c r="I82" s="660"/>
      <c r="J82" s="952"/>
      <c r="K82" s="226"/>
      <c r="X82" s="692">
        <v>0</v>
      </c>
    </row>
    <row r="83" spans="1:24" s="1561" customFormat="1" ht="11.25" hidden="1" customHeight="1">
      <c r="A83" s="5500"/>
      <c r="B83" s="447"/>
      <c r="D83" s="601" t="s">
        <v>363</v>
      </c>
      <c r="E83" s="659" t="s">
        <v>948</v>
      </c>
      <c r="F83" s="596" t="s">
        <v>890</v>
      </c>
      <c r="G83" s="660"/>
      <c r="H83" s="952"/>
      <c r="I83" s="660"/>
      <c r="J83" s="952"/>
      <c r="K83" s="226"/>
      <c r="X83" s="692">
        <v>0</v>
      </c>
    </row>
    <row r="84" spans="1:24" s="1561" customFormat="1" ht="11.25" hidden="1" customHeight="1">
      <c r="A84" s="5500"/>
      <c r="B84" s="447"/>
      <c r="D84" s="601" t="s">
        <v>949</v>
      </c>
      <c r="E84" s="659" t="s">
        <v>950</v>
      </c>
      <c r="F84" s="596" t="s">
        <v>890</v>
      </c>
      <c r="G84" s="660"/>
      <c r="H84" s="952"/>
      <c r="I84" s="660"/>
      <c r="J84" s="952"/>
      <c r="K84" s="226"/>
      <c r="X84" s="692">
        <v>0</v>
      </c>
    </row>
    <row r="85" spans="1:24" s="1561" customFormat="1" ht="11.25" hidden="1" customHeight="1">
      <c r="A85" s="5500"/>
      <c r="B85" s="447"/>
      <c r="D85" s="601" t="s">
        <v>951</v>
      </c>
      <c r="E85" s="659" t="s">
        <v>952</v>
      </c>
      <c r="F85" s="596" t="s">
        <v>890</v>
      </c>
      <c r="G85" s="660"/>
      <c r="H85" s="952"/>
      <c r="I85" s="660"/>
      <c r="J85" s="952"/>
      <c r="K85" s="226"/>
      <c r="X85" s="692">
        <v>0</v>
      </c>
    </row>
    <row r="86" spans="1:24" s="1561" customFormat="1" ht="11.25" hidden="1" customHeight="1">
      <c r="A86" s="5500"/>
      <c r="B86" s="447"/>
      <c r="D86" s="601" t="s">
        <v>953</v>
      </c>
      <c r="E86" s="659" t="s">
        <v>954</v>
      </c>
      <c r="F86" s="596" t="s">
        <v>890</v>
      </c>
      <c r="G86" s="660"/>
      <c r="H86" s="952"/>
      <c r="I86" s="660"/>
      <c r="J86" s="952"/>
      <c r="K86" s="226"/>
      <c r="X86" s="692">
        <v>0</v>
      </c>
    </row>
    <row r="87" spans="1:24" s="1561" customFormat="1" ht="45" hidden="1" customHeight="1">
      <c r="A87" s="5500"/>
      <c r="B87" s="447"/>
      <c r="D87" s="601" t="s">
        <v>93</v>
      </c>
      <c r="E87" s="602" t="s">
        <v>955</v>
      </c>
      <c r="F87" s="596" t="s">
        <v>890</v>
      </c>
      <c r="G87" s="660"/>
      <c r="H87" s="952"/>
      <c r="I87" s="660"/>
      <c r="J87" s="952"/>
      <c r="K87" s="226" t="s">
        <v>956</v>
      </c>
      <c r="X87" s="692">
        <v>0</v>
      </c>
    </row>
    <row r="88" spans="1:24" s="1561" customFormat="1" ht="11.25" hidden="1" customHeight="1">
      <c r="A88" s="5500"/>
      <c r="B88" s="447"/>
      <c r="D88" s="601" t="s">
        <v>785</v>
      </c>
      <c r="E88" s="659" t="s">
        <v>945</v>
      </c>
      <c r="F88" s="596" t="s">
        <v>890</v>
      </c>
      <c r="G88" s="660"/>
      <c r="H88" s="952"/>
      <c r="I88" s="660"/>
      <c r="J88" s="952"/>
      <c r="K88" s="226"/>
      <c r="X88" s="692">
        <v>0</v>
      </c>
    </row>
    <row r="89" spans="1:24" s="1561" customFormat="1" ht="11.25" hidden="1" customHeight="1">
      <c r="A89" s="5500"/>
      <c r="B89" s="447"/>
      <c r="D89" s="601" t="s">
        <v>827</v>
      </c>
      <c r="E89" s="659" t="s">
        <v>946</v>
      </c>
      <c r="F89" s="596" t="s">
        <v>890</v>
      </c>
      <c r="G89" s="660"/>
      <c r="H89" s="952"/>
      <c r="I89" s="660"/>
      <c r="J89" s="952"/>
      <c r="K89" s="226"/>
      <c r="X89" s="692">
        <v>0</v>
      </c>
    </row>
    <row r="90" spans="1:24" s="1561" customFormat="1" ht="11.25" hidden="1" customHeight="1">
      <c r="A90" s="5500"/>
      <c r="B90" s="447"/>
      <c r="D90" s="601" t="s">
        <v>830</v>
      </c>
      <c r="E90" s="659" t="s">
        <v>947</v>
      </c>
      <c r="F90" s="596" t="s">
        <v>890</v>
      </c>
      <c r="G90" s="660"/>
      <c r="H90" s="952"/>
      <c r="I90" s="660"/>
      <c r="J90" s="952"/>
      <c r="K90" s="226"/>
      <c r="X90" s="692">
        <v>0</v>
      </c>
    </row>
    <row r="91" spans="1:24" s="1561" customFormat="1" ht="11.25" hidden="1" customHeight="1">
      <c r="A91" s="5500"/>
      <c r="B91" s="447"/>
      <c r="D91" s="601" t="s">
        <v>908</v>
      </c>
      <c r="E91" s="659" t="s">
        <v>948</v>
      </c>
      <c r="F91" s="596" t="s">
        <v>890</v>
      </c>
      <c r="G91" s="660"/>
      <c r="H91" s="952"/>
      <c r="I91" s="660"/>
      <c r="J91" s="952"/>
      <c r="K91" s="226"/>
      <c r="X91" s="692">
        <v>0</v>
      </c>
    </row>
    <row r="92" spans="1:24" s="1561" customFormat="1" ht="11.25" hidden="1" customHeight="1">
      <c r="A92" s="5500"/>
      <c r="B92" s="447"/>
      <c r="D92" s="601" t="s">
        <v>910</v>
      </c>
      <c r="E92" s="659" t="s">
        <v>950</v>
      </c>
      <c r="F92" s="596" t="s">
        <v>890</v>
      </c>
      <c r="G92" s="660"/>
      <c r="H92" s="952"/>
      <c r="I92" s="660"/>
      <c r="J92" s="952"/>
      <c r="K92" s="226"/>
      <c r="X92" s="692">
        <v>0</v>
      </c>
    </row>
    <row r="93" spans="1:24" s="1561" customFormat="1" ht="11.25" hidden="1" customHeight="1">
      <c r="A93" s="5500"/>
      <c r="B93" s="447"/>
      <c r="D93" s="601" t="s">
        <v>957</v>
      </c>
      <c r="E93" s="659" t="s">
        <v>952</v>
      </c>
      <c r="F93" s="596" t="s">
        <v>890</v>
      </c>
      <c r="G93" s="660"/>
      <c r="H93" s="952"/>
      <c r="I93" s="660"/>
      <c r="J93" s="952"/>
      <c r="K93" s="226"/>
      <c r="X93" s="692">
        <v>0</v>
      </c>
    </row>
    <row r="94" spans="1:24" s="1561" customFormat="1" ht="11.25" hidden="1" customHeight="1">
      <c r="A94" s="5500"/>
      <c r="B94" s="447"/>
      <c r="D94" s="601" t="s">
        <v>958</v>
      </c>
      <c r="E94" s="659" t="s">
        <v>954</v>
      </c>
      <c r="F94" s="596" t="s">
        <v>890</v>
      </c>
      <c r="G94" s="660"/>
      <c r="H94" s="952"/>
      <c r="I94" s="660"/>
      <c r="J94" s="952"/>
      <c r="K94" s="226"/>
      <c r="X94" s="692">
        <v>0</v>
      </c>
    </row>
    <row r="95" spans="1:24" s="1561" customFormat="1" ht="24.75" hidden="1" customHeight="1">
      <c r="A95" s="5500"/>
      <c r="B95" s="447"/>
      <c r="D95" s="601" t="s">
        <v>113</v>
      </c>
      <c r="E95" s="602" t="s">
        <v>959</v>
      </c>
      <c r="F95" s="661" t="s">
        <v>590</v>
      </c>
      <c r="G95" s="663"/>
      <c r="H95" s="952"/>
      <c r="I95" s="663"/>
      <c r="J95" s="952"/>
      <c r="K95" s="226" t="s">
        <v>960</v>
      </c>
      <c r="X95" s="692">
        <v>0</v>
      </c>
    </row>
    <row r="96" spans="1:24" s="1561" customFormat="1" ht="33.75" hidden="1" customHeight="1">
      <c r="A96" s="5500"/>
      <c r="B96" s="447"/>
      <c r="D96" s="601" t="s">
        <v>94</v>
      </c>
      <c r="E96" s="602" t="s">
        <v>961</v>
      </c>
      <c r="F96" s="662" t="s">
        <v>851</v>
      </c>
      <c r="G96" s="664"/>
      <c r="H96" s="952"/>
      <c r="I96" s="664"/>
      <c r="J96" s="952"/>
      <c r="K96" s="226"/>
      <c r="X96" s="692">
        <v>0</v>
      </c>
    </row>
    <row r="97" spans="1:24" s="1561" customFormat="1" ht="22.5" hidden="1" customHeight="1">
      <c r="A97" s="5500"/>
      <c r="B97" s="447" t="s">
        <v>620</v>
      </c>
      <c r="D97" s="601" t="s">
        <v>95</v>
      </c>
      <c r="E97" s="602" t="s">
        <v>962</v>
      </c>
      <c r="F97" s="662" t="s">
        <v>333</v>
      </c>
      <c r="G97" s="321"/>
      <c r="H97" s="952"/>
      <c r="I97" s="321"/>
      <c r="J97" s="952"/>
      <c r="K97" s="226" t="s">
        <v>663</v>
      </c>
      <c r="X97" s="692">
        <v>0</v>
      </c>
    </row>
    <row r="98" spans="1:24" s="1561" customFormat="1" ht="45" hidden="1" customHeight="1">
      <c r="A98" s="5500"/>
      <c r="B98" s="447" t="s">
        <v>620</v>
      </c>
      <c r="D98" s="601" t="s">
        <v>963</v>
      </c>
      <c r="E98" s="603" t="s">
        <v>964</v>
      </c>
      <c r="F98" s="657" t="s">
        <v>333</v>
      </c>
      <c r="G98" s="321"/>
      <c r="H98" s="952"/>
      <c r="I98" s="321"/>
      <c r="J98" s="952"/>
      <c r="K98" s="226" t="s">
        <v>663</v>
      </c>
      <c r="X98" s="692">
        <v>0</v>
      </c>
    </row>
    <row r="99" spans="1:24" s="1561" customFormat="1" ht="95.25" hidden="1" customHeight="1">
      <c r="A99" s="5500"/>
      <c r="B99" s="447" t="s">
        <v>620</v>
      </c>
      <c r="D99" s="601" t="s">
        <v>114</v>
      </c>
      <c r="E99" s="602" t="s">
        <v>965</v>
      </c>
      <c r="F99" s="657" t="s">
        <v>333</v>
      </c>
      <c r="G99" s="321"/>
      <c r="H99" s="952"/>
      <c r="I99" s="321"/>
      <c r="J99" s="952"/>
      <c r="K99" s="226" t="s">
        <v>663</v>
      </c>
      <c r="X99" s="692">
        <v>0</v>
      </c>
    </row>
    <row r="100" spans="1:24" s="1561" customFormat="1" ht="22.5" hidden="1" customHeight="1">
      <c r="A100" s="5500"/>
      <c r="B100" s="447" t="s">
        <v>620</v>
      </c>
      <c r="D100" s="601" t="s">
        <v>101</v>
      </c>
      <c r="E100" s="602" t="s">
        <v>966</v>
      </c>
      <c r="F100" s="657" t="s">
        <v>333</v>
      </c>
      <c r="G100" s="321"/>
      <c r="H100" s="952"/>
      <c r="I100" s="321"/>
      <c r="J100" s="952"/>
      <c r="K100" s="226" t="s">
        <v>663</v>
      </c>
      <c r="X100" s="692">
        <v>0</v>
      </c>
    </row>
    <row r="101" spans="1:24" s="1561" customFormat="1" ht="11.45" customHeight="1">
      <c r="A101" s="962"/>
      <c r="B101" s="454"/>
      <c r="D101" s="963"/>
      <c r="E101" s="964"/>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5228" t="str">
        <f>Титульный!E5</f>
        <v>Показатели, подлежащие раскрытию в сфере теплоснабжения (цены и тарифы)</v>
      </c>
      <c r="E4" s="5229"/>
      <c r="F4" s="5229"/>
      <c r="G4" s="5229"/>
      <c r="H4" s="5229"/>
      <c r="I4" s="5230"/>
      <c r="J4" s="520"/>
      <c r="K4" s="520"/>
      <c r="L4" s="520"/>
      <c r="M4" s="520"/>
      <c r="AM4" s="519">
        <v>34</v>
      </c>
    </row>
    <row r="5" spans="1:39" s="525" customFormat="1" ht="14.65" customHeight="1">
      <c r="A5" s="521"/>
      <c r="B5" s="521"/>
      <c r="C5" s="521"/>
      <c r="D5" s="5231" t="str">
        <f>IF(org=0,"Не определено",org)</f>
        <v>ПАО "ТГК-1" филиал "Невский"</v>
      </c>
      <c r="E5" s="5232"/>
      <c r="F5" s="5232"/>
      <c r="G5" s="5232"/>
      <c r="H5" s="5232"/>
      <c r="I5" s="5233"/>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5220"/>
      <c r="B6" s="5220"/>
      <c r="C6" s="5220"/>
      <c r="D6" s="5220"/>
      <c r="E6" s="5220"/>
      <c r="F6" s="5220"/>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523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5239"/>
      <c r="G7" s="5239"/>
      <c r="H7" s="5239"/>
      <c r="I7" s="5239"/>
      <c r="J7" s="5239"/>
      <c r="K7" s="5239"/>
      <c r="L7" s="5239"/>
      <c r="M7" s="5239"/>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5234"/>
      <c r="B9" s="260"/>
      <c r="C9" s="260"/>
      <c r="D9" s="5235" t="s">
        <v>107</v>
      </c>
      <c r="E9" s="5235"/>
      <c r="F9" s="5236" t="s">
        <v>108</v>
      </c>
      <c r="G9" s="5237"/>
      <c r="H9" s="5237"/>
      <c r="I9" s="5237"/>
      <c r="J9" s="5240" t="s">
        <v>109</v>
      </c>
      <c r="K9" s="5240"/>
      <c r="L9" s="5240"/>
      <c r="M9" s="5240"/>
      <c r="AM9" s="519">
        <v>18</v>
      </c>
    </row>
    <row r="10" spans="1:39" ht="24" customHeight="1">
      <c r="A10" s="5234"/>
      <c r="B10" s="528"/>
      <c r="C10" s="461"/>
      <c r="D10" s="459" t="s">
        <v>90</v>
      </c>
      <c r="E10" s="459" t="s">
        <v>91</v>
      </c>
      <c r="F10" s="459" t="s">
        <v>110</v>
      </c>
      <c r="G10" s="5241" t="s">
        <v>90</v>
      </c>
      <c r="H10" s="5242"/>
      <c r="I10" s="459" t="s">
        <v>91</v>
      </c>
      <c r="J10" s="459" t="s">
        <v>110</v>
      </c>
      <c r="K10" s="5241" t="s">
        <v>90</v>
      </c>
      <c r="L10" s="5242"/>
      <c r="M10" s="459" t="s">
        <v>91</v>
      </c>
      <c r="N10" s="1553"/>
      <c r="AM10" s="519">
        <v>23</v>
      </c>
    </row>
    <row r="11" spans="1:39" s="1777" customFormat="1" ht="11.25" hidden="1" customHeight="1">
      <c r="A11" s="529"/>
      <c r="B11" s="529"/>
      <c r="C11" s="529"/>
      <c r="D11" s="530" t="s">
        <v>111</v>
      </c>
      <c r="E11" s="530" t="s">
        <v>112</v>
      </c>
      <c r="F11" s="530" t="s">
        <v>92</v>
      </c>
      <c r="G11" s="5224" t="s">
        <v>93</v>
      </c>
      <c r="H11" s="5225"/>
      <c r="I11" s="530" t="s">
        <v>113</v>
      </c>
      <c r="J11" s="530" t="s">
        <v>94</v>
      </c>
      <c r="K11" s="5226" t="s">
        <v>95</v>
      </c>
      <c r="L11" s="5227"/>
      <c r="M11" s="530" t="s">
        <v>114</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2"/>
      <c r="L12" s="303"/>
      <c r="M12" s="537"/>
      <c r="N12" s="1553"/>
      <c r="O12" s="1339" t="s">
        <v>115</v>
      </c>
      <c r="P12" s="1339" t="s">
        <v>116</v>
      </c>
      <c r="Q12" s="1339" t="s">
        <v>117</v>
      </c>
      <c r="R12" s="1339" t="s">
        <v>118</v>
      </c>
      <c r="AM12" s="519">
        <v>1</v>
      </c>
    </row>
    <row r="13" spans="1:39" s="1777" customFormat="1" ht="15.75" customHeight="1">
      <c r="A13" s="230"/>
      <c r="B13" s="230"/>
      <c r="C13" s="462"/>
      <c r="D13" s="5246" t="s">
        <v>111</v>
      </c>
      <c r="E13" s="5247"/>
      <c r="F13" s="5250" t="s">
        <v>65</v>
      </c>
      <c r="G13" s="5251"/>
      <c r="H13" s="5252">
        <v>1</v>
      </c>
      <c r="I13" s="5243" t="str">
        <f>IF(U13="","",INDEX(TERRITORY_MR_LIST,MATCH(U13,TERRITORY_LIST_ID,0)))</f>
        <v/>
      </c>
      <c r="J13" s="5245" t="s">
        <v>19</v>
      </c>
      <c r="K13" s="538"/>
      <c r="L13" s="463" t="s">
        <v>111</v>
      </c>
      <c r="M13" s="539" t="s">
        <v>28</v>
      </c>
      <c r="N13" s="742"/>
      <c r="O13" s="1342" t="s">
        <v>119</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120</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4"/>
      <c r="D14" s="5246"/>
      <c r="E14" s="5248"/>
      <c r="F14" s="5245"/>
      <c r="G14" s="5251"/>
      <c r="H14" s="5252"/>
      <c r="I14" s="5244"/>
      <c r="J14" s="5245"/>
      <c r="K14" s="357"/>
      <c r="L14" s="115"/>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4"/>
      <c r="D15" s="5246"/>
      <c r="E15" s="5249"/>
      <c r="F15" s="5245"/>
      <c r="G15" s="989"/>
      <c r="H15" s="990"/>
      <c r="I15" s="516" t="s">
        <v>122</v>
      </c>
      <c r="J15" s="115"/>
      <c r="K15" s="115"/>
      <c r="L15" s="115"/>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123</v>
      </c>
      <c r="F16" s="115"/>
      <c r="G16" s="115"/>
      <c r="H16" s="115"/>
      <c r="I16" s="115"/>
      <c r="J16" s="115"/>
      <c r="K16" s="115" t="s">
        <v>28</v>
      </c>
      <c r="L16" s="115"/>
      <c r="M16" s="544"/>
      <c r="N16" s="1553"/>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5501"/>
      <c r="C3" s="5502" t="s">
        <v>166</v>
      </c>
      <c r="D3" s="625" t="str">
        <f>B3&amp;".1"</f>
        <v>.1</v>
      </c>
      <c r="E3" s="626" t="s">
        <v>967</v>
      </c>
      <c r="F3" s="627" t="s">
        <v>333</v>
      </c>
      <c r="G3" s="622"/>
      <c r="H3" s="337"/>
      <c r="I3" s="622"/>
      <c r="J3" s="337"/>
      <c r="K3" s="226" t="s">
        <v>968</v>
      </c>
      <c r="V3" s="441">
        <v>0</v>
      </c>
    </row>
    <row r="4" spans="1:22" ht="15" hidden="1" customHeight="1">
      <c r="A4" s="441"/>
      <c r="B4" s="5501"/>
      <c r="C4" s="5502"/>
      <c r="D4" s="625" t="str">
        <f>B3&amp;".2"</f>
        <v>.2</v>
      </c>
      <c r="E4" s="626" t="s">
        <v>969</v>
      </c>
      <c r="F4" s="627" t="s">
        <v>333</v>
      </c>
      <c r="G4" s="1663" t="s">
        <v>28</v>
      </c>
      <c r="H4" s="337"/>
      <c r="I4" s="1663" t="s">
        <v>28</v>
      </c>
      <c r="J4" s="337"/>
      <c r="K4" s="226" t="s">
        <v>970</v>
      </c>
      <c r="V4" s="441">
        <v>0</v>
      </c>
    </row>
    <row r="5" spans="1:22" s="1292" customFormat="1" ht="15" hidden="1" customHeight="1">
      <c r="C5" s="608"/>
      <c r="U5" s="356"/>
      <c r="V5" s="353">
        <v>0</v>
      </c>
    </row>
    <row r="6" spans="1:22" ht="22.5" hidden="1" customHeight="1">
      <c r="A6" s="441"/>
      <c r="B6" s="5501"/>
      <c r="C6" s="5502" t="s">
        <v>166</v>
      </c>
      <c r="D6" s="625" t="str">
        <f>B6&amp;".1"</f>
        <v>.1</v>
      </c>
      <c r="E6" s="626" t="s">
        <v>971</v>
      </c>
      <c r="F6" s="627" t="s">
        <v>333</v>
      </c>
      <c r="G6" s="622"/>
      <c r="H6" s="337"/>
      <c r="I6" s="622"/>
      <c r="J6" s="337"/>
      <c r="K6" s="226" t="s">
        <v>972</v>
      </c>
      <c r="V6" s="441">
        <v>0</v>
      </c>
    </row>
    <row r="7" spans="1:22" ht="15" hidden="1" customHeight="1">
      <c r="A7" s="441"/>
      <c r="B7" s="5501"/>
      <c r="C7" s="5502"/>
      <c r="D7" s="625" t="str">
        <f>B6&amp;".2"</f>
        <v>.2</v>
      </c>
      <c r="E7" s="626" t="s">
        <v>969</v>
      </c>
      <c r="F7" s="627" t="s">
        <v>333</v>
      </c>
      <c r="G7" s="1663" t="s">
        <v>28</v>
      </c>
      <c r="H7" s="337"/>
      <c r="I7" s="1663" t="s">
        <v>28</v>
      </c>
      <c r="J7" s="337"/>
      <c r="K7" s="226" t="s">
        <v>970</v>
      </c>
      <c r="V7" s="441">
        <v>0</v>
      </c>
    </row>
    <row r="8" spans="1:22" s="1292" customFormat="1" ht="15" hidden="1" customHeight="1">
      <c r="C8" s="608"/>
      <c r="U8" s="356"/>
      <c r="V8" s="353">
        <v>0</v>
      </c>
    </row>
    <row r="9" spans="1:22" ht="22.5" hidden="1" customHeight="1">
      <c r="A9" s="441"/>
      <c r="B9" s="5501"/>
      <c r="C9" s="5502" t="s">
        <v>166</v>
      </c>
      <c r="D9" s="625" t="str">
        <f>B9&amp;".1"</f>
        <v>.1</v>
      </c>
      <c r="E9" s="626" t="s">
        <v>973</v>
      </c>
      <c r="F9" s="627" t="s">
        <v>333</v>
      </c>
      <c r="G9" s="633" t="s">
        <v>28</v>
      </c>
      <c r="H9" s="337" t="s">
        <v>28</v>
      </c>
      <c r="I9" s="633" t="s">
        <v>28</v>
      </c>
      <c r="J9" s="337" t="s">
        <v>28</v>
      </c>
      <c r="K9" s="226"/>
      <c r="V9" s="441">
        <v>0</v>
      </c>
    </row>
    <row r="10" spans="1:22" ht="15" hidden="1" customHeight="1">
      <c r="A10" s="441"/>
      <c r="B10" s="5501"/>
      <c r="C10" s="5502"/>
      <c r="D10" s="625" t="str">
        <f>B9&amp;".2"</f>
        <v>.2</v>
      </c>
      <c r="E10" s="626" t="s">
        <v>974</v>
      </c>
      <c r="F10" s="627" t="s">
        <v>333</v>
      </c>
      <c r="G10" s="1657" t="s">
        <v>28</v>
      </c>
      <c r="H10" s="337" t="s">
        <v>28</v>
      </c>
      <c r="I10" s="1657" t="s">
        <v>28</v>
      </c>
      <c r="J10" s="337" t="s">
        <v>28</v>
      </c>
      <c r="K10" s="226" t="s">
        <v>975</v>
      </c>
      <c r="V10" s="441">
        <v>0</v>
      </c>
    </row>
    <row r="11" spans="1:22" ht="15" hidden="1" customHeight="1">
      <c r="A11" s="441"/>
      <c r="B11" s="5501"/>
      <c r="C11" s="5502"/>
      <c r="D11" s="625" t="str">
        <f>B9&amp;".3"</f>
        <v>.3</v>
      </c>
      <c r="E11" s="626" t="s">
        <v>976</v>
      </c>
      <c r="F11" s="627" t="s">
        <v>333</v>
      </c>
      <c r="G11" s="1657" t="s">
        <v>28</v>
      </c>
      <c r="H11" s="337" t="s">
        <v>28</v>
      </c>
      <c r="I11" s="1657" t="s">
        <v>28</v>
      </c>
      <c r="J11" s="337" t="s">
        <v>28</v>
      </c>
      <c r="K11" s="226" t="s">
        <v>977</v>
      </c>
      <c r="V11" s="441">
        <v>0</v>
      </c>
    </row>
    <row r="12" spans="1:22" s="1292" customFormat="1" ht="15" hidden="1" customHeight="1">
      <c r="C12" s="608"/>
      <c r="U12" s="356"/>
      <c r="V12" s="353">
        <v>0</v>
      </c>
    </row>
    <row r="13" spans="1:22" ht="33.75" hidden="1" customHeight="1">
      <c r="A13" s="441"/>
      <c r="B13" s="5501"/>
      <c r="C13" s="5502" t="s">
        <v>166</v>
      </c>
      <c r="D13" s="625" t="str">
        <f>B13&amp;".1"</f>
        <v>.1</v>
      </c>
      <c r="E13" s="626" t="s">
        <v>978</v>
      </c>
      <c r="F13" s="627" t="s">
        <v>333</v>
      </c>
      <c r="G13" s="633" t="s">
        <v>28</v>
      </c>
      <c r="H13" s="337" t="s">
        <v>28</v>
      </c>
      <c r="I13" s="633" t="s">
        <v>28</v>
      </c>
      <c r="J13" s="337" t="s">
        <v>28</v>
      </c>
      <c r="K13" s="226" t="s">
        <v>979</v>
      </c>
      <c r="V13" s="441">
        <v>0</v>
      </c>
    </row>
    <row r="14" spans="1:22" ht="15" hidden="1" customHeight="1">
      <c r="B14" s="5501"/>
      <c r="C14" s="5502"/>
      <c r="D14" s="625" t="str">
        <f>B13&amp;".2"</f>
        <v>.2</v>
      </c>
      <c r="E14" s="626" t="s">
        <v>980</v>
      </c>
      <c r="F14" s="627" t="s">
        <v>333</v>
      </c>
      <c r="G14" s="1657" t="s">
        <v>28</v>
      </c>
      <c r="H14" s="337" t="s">
        <v>28</v>
      </c>
      <c r="I14" s="1657" t="s">
        <v>28</v>
      </c>
      <c r="J14" s="337" t="s">
        <v>28</v>
      </c>
      <c r="K14" s="226" t="s">
        <v>981</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4"/>
      <c r="D21" s="445"/>
      <c r="E21" s="445"/>
      <c r="F21" s="445"/>
      <c r="G21" s="445"/>
      <c r="H21" s="445"/>
      <c r="I21" s="445"/>
      <c r="J21" s="445"/>
      <c r="V21" s="441">
        <v>15</v>
      </c>
    </row>
    <row r="22" spans="1:22" ht="23.25" customHeight="1">
      <c r="C22" s="114"/>
      <c r="D22" s="535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5359"/>
      <c r="F22" s="5359"/>
      <c r="G22" s="5359"/>
      <c r="H22" s="5359"/>
      <c r="I22" s="5359"/>
      <c r="J22" s="612"/>
      <c r="K22" s="473"/>
      <c r="V22" s="441">
        <v>22</v>
      </c>
    </row>
    <row r="23" spans="1:22" ht="15.75" customHeight="1">
      <c r="C23" s="114"/>
      <c r="D23" s="5331" t="str">
        <f>IF(org=0,"Не определено",org)</f>
        <v>ПАО "ТГК-1" филиал "Невский"</v>
      </c>
      <c r="E23" s="5331"/>
      <c r="F23" s="5331"/>
      <c r="G23" s="5331"/>
      <c r="H23" s="5331"/>
      <c r="I23" s="5331"/>
      <c r="J23" s="612"/>
      <c r="K23" s="473"/>
      <c r="V23" s="441">
        <v>15</v>
      </c>
    </row>
    <row r="24" spans="1:22" ht="15.75" customHeight="1">
      <c r="C24" s="114"/>
      <c r="D24" s="445"/>
      <c r="E24" s="445"/>
      <c r="F24" s="445"/>
      <c r="G24" s="473">
        <v>22</v>
      </c>
      <c r="H24" s="688"/>
      <c r="I24" s="473">
        <v>22</v>
      </c>
      <c r="J24" s="688"/>
      <c r="V24" s="441">
        <v>15</v>
      </c>
    </row>
    <row r="25" spans="1:22" s="1561" customFormat="1" ht="1.1499999999999999" customHeight="1">
      <c r="A25" s="693"/>
      <c r="C25" s="114"/>
      <c r="D25" s="445"/>
      <c r="E25" s="445"/>
      <c r="F25" s="445"/>
      <c r="G25" s="473"/>
      <c r="H25" s="688"/>
      <c r="I25" s="473" t="s">
        <v>119</v>
      </c>
      <c r="J25" s="688"/>
      <c r="K25" s="353"/>
      <c r="U25" s="611"/>
      <c r="V25" s="692">
        <v>1</v>
      </c>
    </row>
    <row r="26" spans="1:22" ht="15.75" customHeight="1">
      <c r="C26" s="114"/>
      <c r="D26" s="647"/>
      <c r="E26" s="5478" t="s">
        <v>107</v>
      </c>
      <c r="F26" s="5479"/>
      <c r="G26" s="5503" t="str">
        <f>IF(G25="","",INDEX(DIFFERENTIATION_UNMERGE_VD,MATCH(G25,DIFFERENTIATION_ID_DIFF,0)))</f>
        <v/>
      </c>
      <c r="H26" s="5504"/>
      <c r="I26" s="5503">
        <f>IF(I25="","",INDEX(DIFFERENTIATION_UNMERGE_VD,MATCH(I25,DIFFERENTIATION_ID_DIFF,0)))</f>
        <v>0</v>
      </c>
      <c r="J26" s="5504"/>
      <c r="K26" s="5311" t="s">
        <v>328</v>
      </c>
      <c r="V26" s="441">
        <v>15</v>
      </c>
    </row>
    <row r="27" spans="1:22" s="1561" customFormat="1" ht="15.75" customHeight="1">
      <c r="A27" s="693"/>
      <c r="C27" s="114"/>
      <c r="D27" s="647"/>
      <c r="E27" s="5478" t="s">
        <v>596</v>
      </c>
      <c r="F27" s="5479"/>
      <c r="G27" s="5503" t="str">
        <f>IF(G25="","",INDEX(DIFFERENTIATION_UNMERGE_AREA,MATCH(G25,DIFFERENTIATION_ID_DIFF,0)))</f>
        <v/>
      </c>
      <c r="H27" s="5504"/>
      <c r="I27" s="5503" t="str">
        <f>IF(I25="","",INDEX(DIFFERENTIATION_UNMERGE_AREA,MATCH(I25,DIFFERENTIATION_ID_DIFF,0)))</f>
        <v/>
      </c>
      <c r="J27" s="5504"/>
      <c r="K27" s="5315"/>
      <c r="U27" s="611"/>
      <c r="V27" s="692">
        <v>15</v>
      </c>
    </row>
    <row r="28" spans="1:22" s="1561" customFormat="1" ht="15.75" customHeight="1">
      <c r="A28" s="693"/>
      <c r="C28" s="114"/>
      <c r="D28" s="647"/>
      <c r="E28" s="5478" t="s">
        <v>597</v>
      </c>
      <c r="F28" s="5479"/>
      <c r="G28" s="5503" t="str">
        <f>IF(G25="","",INDEX(DIFFERENTIATION_UNMERGE_SYSTEM,MATCH(G25,DIFFERENTIATION_ID_DIFF,0)))</f>
        <v/>
      </c>
      <c r="H28" s="5504"/>
      <c r="I28" s="5503" t="str">
        <f>IF(I25="","",INDEX(DIFFERENTIATION_UNMERGE_SYSTEM,MATCH(I25,DIFFERENTIATION_ID_DIFF,0)))</f>
        <v>без дифференциации</v>
      </c>
      <c r="J28" s="5504"/>
      <c r="K28" s="5315"/>
      <c r="U28" s="611"/>
      <c r="V28" s="692">
        <v>15</v>
      </c>
    </row>
    <row r="29" spans="1:22" s="1561" customFormat="1" ht="15.75" customHeight="1">
      <c r="A29" s="693"/>
      <c r="C29" s="114"/>
      <c r="D29" s="5480" t="s">
        <v>327</v>
      </c>
      <c r="E29" s="5481"/>
      <c r="F29" s="5481"/>
      <c r="G29" s="816"/>
      <c r="H29" s="816"/>
      <c r="I29" s="816"/>
      <c r="J29" s="817"/>
      <c r="K29" s="5315"/>
      <c r="U29" s="611"/>
      <c r="V29" s="692">
        <v>15</v>
      </c>
    </row>
    <row r="30" spans="1:22" ht="35.65" customHeight="1">
      <c r="C30" s="114"/>
      <c r="D30" s="695" t="s">
        <v>90</v>
      </c>
      <c r="E30" s="694" t="s">
        <v>329</v>
      </c>
      <c r="F30" s="694" t="s">
        <v>598</v>
      </c>
      <c r="G30" s="738" t="s">
        <v>330</v>
      </c>
      <c r="H30" s="737" t="s">
        <v>417</v>
      </c>
      <c r="I30" s="620" t="s">
        <v>330</v>
      </c>
      <c r="J30" s="401" t="s">
        <v>417</v>
      </c>
      <c r="K30" s="5318"/>
      <c r="V30" s="441">
        <v>34</v>
      </c>
    </row>
    <row r="31" spans="1:22" ht="15" hidden="1" customHeight="1">
      <c r="C31" s="114"/>
      <c r="D31" s="529"/>
      <c r="E31" s="529"/>
      <c r="F31" s="529"/>
      <c r="G31" s="595"/>
      <c r="H31" s="595"/>
      <c r="I31" s="595"/>
      <c r="J31" s="595"/>
      <c r="K31" s="226"/>
      <c r="V31" s="441">
        <v>0</v>
      </c>
    </row>
    <row r="32" spans="1:22" ht="24" customHeight="1">
      <c r="A32" s="441"/>
      <c r="B32" s="441" t="s">
        <v>982</v>
      </c>
      <c r="C32" s="462"/>
      <c r="D32" s="628">
        <v>1</v>
      </c>
      <c r="E32" s="629" t="s">
        <v>983</v>
      </c>
      <c r="F32" s="627" t="s">
        <v>333</v>
      </c>
      <c r="G32" s="743" t="s">
        <v>333</v>
      </c>
      <c r="H32" s="743" t="s">
        <v>333</v>
      </c>
      <c r="I32" s="627" t="s">
        <v>333</v>
      </c>
      <c r="J32" s="627" t="s">
        <v>333</v>
      </c>
      <c r="K32" s="226"/>
      <c r="V32" s="441">
        <v>23</v>
      </c>
    </row>
    <row r="33" spans="1:22" ht="11.45" customHeight="1">
      <c r="A33" s="441"/>
      <c r="C33" s="441"/>
      <c r="D33" s="284"/>
      <c r="E33" s="516" t="s">
        <v>618</v>
      </c>
      <c r="F33" s="508"/>
      <c r="G33" s="508"/>
      <c r="H33" s="508"/>
      <c r="I33" s="508"/>
      <c r="J33" s="508"/>
      <c r="K33" s="509"/>
      <c r="U33" s="441"/>
      <c r="V33" s="441">
        <v>11</v>
      </c>
    </row>
    <row r="34" spans="1:22" ht="24" customHeight="1">
      <c r="A34" s="441"/>
      <c r="B34" s="517" t="s">
        <v>668</v>
      </c>
      <c r="C34" s="462"/>
      <c r="D34" s="628">
        <v>2</v>
      </c>
      <c r="E34" s="629" t="s">
        <v>984</v>
      </c>
      <c r="F34" s="750" t="s">
        <v>333</v>
      </c>
      <c r="G34" s="750" t="s">
        <v>333</v>
      </c>
      <c r="H34" s="750" t="s">
        <v>333</v>
      </c>
      <c r="I34" s="627"/>
      <c r="J34" s="627"/>
      <c r="K34" s="226"/>
      <c r="V34" s="441">
        <v>23</v>
      </c>
    </row>
    <row r="35" spans="1:22" ht="11.45" customHeight="1">
      <c r="A35" s="441"/>
      <c r="C35" s="441"/>
      <c r="D35" s="284"/>
      <c r="E35" s="516" t="s">
        <v>985</v>
      </c>
      <c r="F35" s="508"/>
      <c r="G35" s="630"/>
      <c r="H35" s="508"/>
      <c r="I35" s="630"/>
      <c r="J35" s="508"/>
      <c r="K35" s="509"/>
      <c r="U35" s="441"/>
      <c r="V35" s="441">
        <v>11</v>
      </c>
    </row>
    <row r="36" spans="1:22" ht="71.25" customHeight="1">
      <c r="A36" s="441"/>
      <c r="B36" s="441" t="s">
        <v>986</v>
      </c>
      <c r="C36" s="462"/>
      <c r="D36" s="628">
        <v>3</v>
      </c>
      <c r="E36" s="629" t="s">
        <v>987</v>
      </c>
      <c r="F36" s="631" t="s">
        <v>333</v>
      </c>
      <c r="G36" s="744" t="s">
        <v>988</v>
      </c>
      <c r="H36" s="743" t="s">
        <v>333</v>
      </c>
      <c r="I36" s="460" t="s">
        <v>988</v>
      </c>
      <c r="J36" s="627" t="s">
        <v>333</v>
      </c>
      <c r="K36" s="226" t="s">
        <v>989</v>
      </c>
      <c r="V36" s="441">
        <v>68</v>
      </c>
    </row>
    <row r="37" spans="1:22" ht="11.45" customHeight="1">
      <c r="A37" s="441"/>
      <c r="C37" s="441"/>
      <c r="D37" s="284"/>
      <c r="E37" s="516" t="s">
        <v>990</v>
      </c>
      <c r="F37" s="508"/>
      <c r="G37" s="630"/>
      <c r="H37" s="630"/>
      <c r="I37" s="630"/>
      <c r="J37" s="630"/>
      <c r="K37" s="509"/>
      <c r="U37" s="441"/>
      <c r="V37" s="441">
        <v>11</v>
      </c>
    </row>
    <row r="38" spans="1:22" ht="71.25" customHeight="1">
      <c r="A38" s="441"/>
      <c r="B38" s="441" t="s">
        <v>991</v>
      </c>
      <c r="C38" s="462"/>
      <c r="D38" s="628">
        <v>4</v>
      </c>
      <c r="E38" s="629" t="s">
        <v>992</v>
      </c>
      <c r="F38" s="631" t="s">
        <v>333</v>
      </c>
      <c r="G38" s="744" t="s">
        <v>988</v>
      </c>
      <c r="H38" s="745" t="s">
        <v>333</v>
      </c>
      <c r="I38" s="460" t="s">
        <v>988</v>
      </c>
      <c r="J38" s="457" t="s">
        <v>333</v>
      </c>
      <c r="K38" s="615" t="s">
        <v>993</v>
      </c>
      <c r="V38" s="441">
        <v>68</v>
      </c>
    </row>
    <row r="39" spans="1:22" ht="11.45" customHeight="1">
      <c r="A39" s="441"/>
      <c r="C39" s="441"/>
      <c r="D39" s="284"/>
      <c r="E39" s="516" t="s">
        <v>994</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995</v>
      </c>
      <c r="H3" s="1082"/>
      <c r="AE3" s="693">
        <v>0</v>
      </c>
    </row>
    <row r="4" spans="1:31" ht="3" customHeight="1">
      <c r="AE4" s="692">
        <v>3</v>
      </c>
    </row>
    <row r="5" spans="1:31" ht="27.4" customHeight="1">
      <c r="F5" s="53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5359"/>
      <c r="H5" s="5359"/>
      <c r="I5" s="5359"/>
      <c r="J5" s="5359"/>
      <c r="K5" s="5359"/>
      <c r="M5" s="518"/>
      <c r="AB5" s="835"/>
      <c r="AE5" s="692">
        <v>26</v>
      </c>
    </row>
    <row r="6" spans="1:31" s="1561" customFormat="1" ht="16.899999999999999" customHeight="1">
      <c r="A6" s="1092"/>
      <c r="B6" s="1092"/>
      <c r="C6" s="1092"/>
      <c r="D6" s="1086"/>
      <c r="F6" s="5331" t="str">
        <f>IF(org=0,"Не определено",org)</f>
        <v>ПАО "ТГК-1" филиал "Невский"</v>
      </c>
      <c r="G6" s="5331"/>
      <c r="H6" s="5331"/>
      <c r="I6" s="5331"/>
      <c r="J6" s="5331"/>
      <c r="K6" s="5331"/>
      <c r="M6" s="518"/>
      <c r="AB6" s="1074"/>
      <c r="AE6" s="1557">
        <v>16</v>
      </c>
    </row>
    <row r="7" spans="1:31" ht="10.5" customHeight="1">
      <c r="AE7" s="692">
        <v>10</v>
      </c>
    </row>
    <row r="8" spans="1:31" ht="10.5" customHeight="1">
      <c r="A8" s="980"/>
      <c r="B8" s="980"/>
      <c r="C8" s="980"/>
      <c r="F8" s="5217" t="s">
        <v>327</v>
      </c>
      <c r="G8" s="5222"/>
      <c r="H8" s="5222"/>
      <c r="I8" s="5222"/>
      <c r="J8" s="5222"/>
      <c r="K8" s="5222"/>
      <c r="L8" s="5222"/>
      <c r="M8" s="5222"/>
      <c r="N8" s="5222"/>
      <c r="O8" s="5222"/>
      <c r="P8" s="5222"/>
      <c r="Q8" s="5222"/>
      <c r="R8" s="5222"/>
      <c r="S8" s="5222"/>
      <c r="T8" s="5222"/>
      <c r="U8" s="5222"/>
      <c r="V8" s="5222"/>
      <c r="W8" s="5222"/>
      <c r="X8" s="5222"/>
      <c r="Y8" s="5222"/>
      <c r="Z8" s="5222"/>
      <c r="AA8" s="5222"/>
      <c r="AB8" s="5216"/>
      <c r="AE8" s="692">
        <v>10</v>
      </c>
    </row>
    <row r="9" spans="1:31" ht="43.15" customHeight="1">
      <c r="A9" s="834"/>
      <c r="B9" s="834"/>
      <c r="C9" s="834"/>
      <c r="F9" s="5235" t="s">
        <v>90</v>
      </c>
      <c r="G9" s="5235" t="s">
        <v>995</v>
      </c>
      <c r="H9" s="5311" t="s">
        <v>996</v>
      </c>
      <c r="I9" s="5235" t="s">
        <v>997</v>
      </c>
      <c r="J9" s="5235" t="s">
        <v>998</v>
      </c>
      <c r="K9" s="5235" t="s">
        <v>999</v>
      </c>
      <c r="L9" s="5235" t="s">
        <v>1000</v>
      </c>
      <c r="M9" s="5235" t="s">
        <v>1001</v>
      </c>
      <c r="N9" s="5339" t="s">
        <v>1002</v>
      </c>
      <c r="O9" s="5339"/>
      <c r="P9" s="5339"/>
      <c r="Q9" s="5396" t="s">
        <v>1003</v>
      </c>
      <c r="R9" s="5397"/>
      <c r="S9" s="5397"/>
      <c r="T9" s="5398"/>
      <c r="U9" s="5396" t="s">
        <v>1004</v>
      </c>
      <c r="V9" s="5397"/>
      <c r="W9" s="5397"/>
      <c r="X9" s="5398"/>
      <c r="Y9" s="5217" t="s">
        <v>1005</v>
      </c>
      <c r="Z9" s="5222"/>
      <c r="AA9" s="5222"/>
      <c r="AB9" s="5216"/>
      <c r="AE9" s="692">
        <v>41</v>
      </c>
    </row>
    <row r="10" spans="1:31" ht="43.15" customHeight="1">
      <c r="A10" s="834"/>
      <c r="B10" s="834"/>
      <c r="C10" s="834"/>
      <c r="F10" s="5311"/>
      <c r="G10" s="5311"/>
      <c r="H10" s="5364"/>
      <c r="I10" s="5311"/>
      <c r="J10" s="5311"/>
      <c r="K10" s="5311"/>
      <c r="L10" s="5311"/>
      <c r="M10" s="5311"/>
      <c r="N10" s="832" t="s">
        <v>1006</v>
      </c>
      <c r="O10" s="832" t="s">
        <v>1007</v>
      </c>
      <c r="P10" s="833" t="s">
        <v>1008</v>
      </c>
      <c r="Q10" s="844" t="s">
        <v>91</v>
      </c>
      <c r="R10" s="844" t="s">
        <v>1009</v>
      </c>
      <c r="S10" s="844" t="s">
        <v>1010</v>
      </c>
      <c r="T10" s="845" t="s">
        <v>1011</v>
      </c>
      <c r="U10" s="844" t="s">
        <v>91</v>
      </c>
      <c r="V10" s="844" t="s">
        <v>1012</v>
      </c>
      <c r="W10" s="844" t="s">
        <v>1010</v>
      </c>
      <c r="X10" s="845" t="s">
        <v>1011</v>
      </c>
      <c r="Y10" s="238" t="s">
        <v>1013</v>
      </c>
      <c r="Z10" s="5217" t="s">
        <v>90</v>
      </c>
      <c r="AA10" s="5216"/>
      <c r="AB10" s="978" t="s">
        <v>1014</v>
      </c>
      <c r="AE10" s="692">
        <v>41</v>
      </c>
    </row>
    <row r="11" spans="1:31" s="1568" customFormat="1" ht="5.25" hidden="1" customHeight="1">
      <c r="A11" s="981"/>
      <c r="B11" s="981"/>
      <c r="C11" s="981"/>
      <c r="E11" s="979"/>
      <c r="F11" s="5507" t="s">
        <v>403</v>
      </c>
      <c r="G11" s="5509"/>
      <c r="H11" s="5505"/>
      <c r="I11" s="5505"/>
      <c r="J11" s="5505"/>
      <c r="K11" s="5508"/>
      <c r="L11" s="5508"/>
      <c r="M11" s="5508"/>
      <c r="N11" s="5505"/>
      <c r="O11" s="5505"/>
      <c r="P11" s="5235"/>
      <c r="Q11" s="5321"/>
      <c r="R11" s="5321"/>
      <c r="S11" s="5321"/>
      <c r="T11" s="5505"/>
      <c r="U11" s="5321"/>
      <c r="V11" s="5321"/>
      <c r="W11" s="5321"/>
      <c r="X11" s="5505"/>
      <c r="Y11" s="5246"/>
      <c r="Z11" s="5246"/>
      <c r="AA11" s="5246"/>
      <c r="AB11" s="5246"/>
      <c r="AD11" s="447" t="s">
        <v>1015</v>
      </c>
      <c r="AE11" s="447">
        <v>0</v>
      </c>
    </row>
    <row r="12" spans="1:31" s="1568" customFormat="1" ht="5.25" hidden="1" customHeight="1">
      <c r="A12" s="825"/>
      <c r="B12" s="825"/>
      <c r="C12" s="825"/>
      <c r="E12" s="454"/>
      <c r="F12" s="5507"/>
      <c r="G12" s="5509"/>
      <c r="H12" s="5505"/>
      <c r="I12" s="5505"/>
      <c r="J12" s="5505"/>
      <c r="K12" s="5508"/>
      <c r="L12" s="5508"/>
      <c r="M12" s="5508"/>
      <c r="N12" s="5505"/>
      <c r="O12" s="5505"/>
      <c r="P12" s="5235"/>
      <c r="Q12" s="5321"/>
      <c r="R12" s="5321"/>
      <c r="S12" s="5321"/>
      <c r="T12" s="5505"/>
      <c r="U12" s="5321"/>
      <c r="V12" s="5321"/>
      <c r="W12" s="5321"/>
      <c r="X12" s="5505"/>
      <c r="Y12" s="5506"/>
      <c r="Z12" s="5506"/>
      <c r="AA12" s="5506"/>
      <c r="AB12" s="5506"/>
      <c r="AE12" s="447">
        <v>0</v>
      </c>
    </row>
    <row r="13" spans="1:31" ht="10.5" customHeight="1">
      <c r="F13" s="831"/>
      <c r="G13" s="586" t="s">
        <v>1016</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84</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53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5359"/>
      <c r="H5" s="5359"/>
      <c r="I5" s="5359"/>
      <c r="J5" s="5359"/>
      <c r="K5" s="5359"/>
      <c r="L5" s="1061"/>
      <c r="M5" s="1061"/>
      <c r="AG5" s="835"/>
      <c r="AH5" s="1074"/>
      <c r="BG5" s="692">
        <v>26</v>
      </c>
    </row>
    <row r="6" spans="1:59" ht="10.5" customHeight="1">
      <c r="F6" s="5331" t="str">
        <f>IF(org=0,"Не определено",org)</f>
        <v>ПАО "ТГК-1" филиал "Невский"</v>
      </c>
      <c r="G6" s="5331"/>
      <c r="H6" s="5331"/>
      <c r="I6" s="5331"/>
      <c r="J6" s="5331"/>
      <c r="K6" s="5331"/>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5512" t="s">
        <v>327</v>
      </c>
      <c r="G8" s="5513"/>
      <c r="H8" s="5513"/>
      <c r="I8" s="5513"/>
      <c r="J8" s="5513"/>
      <c r="K8" s="5513"/>
      <c r="L8" s="5513"/>
      <c r="M8" s="5513"/>
      <c r="N8" s="5513"/>
      <c r="O8" s="5513"/>
      <c r="P8" s="5513"/>
      <c r="Q8" s="5513"/>
      <c r="R8" s="5513"/>
      <c r="S8" s="5513"/>
      <c r="T8" s="5513"/>
      <c r="U8" s="5513"/>
      <c r="V8" s="5513"/>
      <c r="W8" s="5513"/>
      <c r="X8" s="5513"/>
      <c r="Y8" s="5513"/>
      <c r="Z8" s="5513"/>
      <c r="AA8" s="5513"/>
      <c r="AB8" s="5513"/>
      <c r="AC8" s="5513"/>
      <c r="AD8" s="5513"/>
      <c r="AE8" s="5513"/>
      <c r="AF8" s="5513"/>
      <c r="AG8" s="5513"/>
      <c r="AH8" s="5513"/>
      <c r="AI8" s="5513"/>
      <c r="AJ8" s="5513"/>
      <c r="AK8" s="5514"/>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5339" t="s">
        <v>1017</v>
      </c>
      <c r="G9" s="5453" t="s">
        <v>1018</v>
      </c>
      <c r="H9" s="5494"/>
      <c r="I9" s="5235" t="s">
        <v>1019</v>
      </c>
      <c r="J9" s="5235"/>
      <c r="K9" s="5235" t="s">
        <v>1020</v>
      </c>
      <c r="L9" s="5235"/>
      <c r="M9" s="5235"/>
      <c r="N9" s="5235"/>
      <c r="O9" s="5235"/>
      <c r="P9" s="5235"/>
      <c r="Q9" s="5235"/>
      <c r="R9" s="5235"/>
      <c r="S9" s="5235"/>
      <c r="T9" s="5235"/>
      <c r="U9" s="5235"/>
      <c r="V9" s="5235"/>
      <c r="W9" s="5235"/>
      <c r="X9" s="5235"/>
      <c r="Y9" s="5235"/>
      <c r="Z9" s="5312" t="s">
        <v>1021</v>
      </c>
      <c r="AA9" s="5313"/>
      <c r="AB9" s="5235" t="s">
        <v>1022</v>
      </c>
      <c r="AC9" s="5235"/>
      <c r="AD9" s="5235"/>
      <c r="AE9" s="5235"/>
      <c r="AF9" s="5311" t="s">
        <v>1023</v>
      </c>
      <c r="AG9" s="5235" t="s">
        <v>1024</v>
      </c>
      <c r="AH9" s="5235"/>
      <c r="AI9" s="5311" t="s">
        <v>1025</v>
      </c>
      <c r="AJ9" s="5235" t="s">
        <v>1026</v>
      </c>
      <c r="AK9" s="5235"/>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5339"/>
      <c r="G10" s="5454"/>
      <c r="H10" s="5343"/>
      <c r="I10" s="5235"/>
      <c r="J10" s="5235"/>
      <c r="K10" s="5235" t="s">
        <v>1027</v>
      </c>
      <c r="L10" s="5217" t="s">
        <v>1028</v>
      </c>
      <c r="M10" s="5216"/>
      <c r="N10" s="5235" t="s">
        <v>1029</v>
      </c>
      <c r="O10" s="5235"/>
      <c r="P10" s="5235"/>
      <c r="Q10" s="5235"/>
      <c r="R10" s="5235"/>
      <c r="S10" s="5235"/>
      <c r="T10" s="5235"/>
      <c r="U10" s="5235"/>
      <c r="V10" s="5235"/>
      <c r="W10" s="5235"/>
      <c r="X10" s="5235"/>
      <c r="Y10" s="5235"/>
      <c r="Z10" s="5314"/>
      <c r="AA10" s="5315"/>
      <c r="AB10" s="5235"/>
      <c r="AC10" s="5235"/>
      <c r="AD10" s="5235"/>
      <c r="AE10" s="5235"/>
      <c r="AF10" s="5316"/>
      <c r="AG10" s="5235"/>
      <c r="AH10" s="5235"/>
      <c r="AI10" s="5316"/>
      <c r="AJ10" s="5235"/>
      <c r="AK10" s="5235"/>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5339"/>
      <c r="G11" s="5454"/>
      <c r="H11" s="5343"/>
      <c r="I11" s="5235"/>
      <c r="J11" s="5235"/>
      <c r="K11" s="5235"/>
      <c r="L11" s="5311" t="s">
        <v>1030</v>
      </c>
      <c r="M11" s="5311" t="s">
        <v>1031</v>
      </c>
      <c r="N11" s="5235" t="s">
        <v>1032</v>
      </c>
      <c r="O11" s="5235"/>
      <c r="P11" s="5300" t="s">
        <v>1013</v>
      </c>
      <c r="Q11" s="5300" t="s">
        <v>1033</v>
      </c>
      <c r="R11" s="5300" t="s">
        <v>1034</v>
      </c>
      <c r="S11" s="5300" t="s">
        <v>1035</v>
      </c>
      <c r="T11" s="5300"/>
      <c r="U11" s="5300"/>
      <c r="V11" s="5300"/>
      <c r="W11" s="5300"/>
      <c r="X11" s="5300"/>
      <c r="Y11" s="5300"/>
      <c r="Z11" s="5314"/>
      <c r="AA11" s="5315"/>
      <c r="AB11" s="5235" t="s">
        <v>1036</v>
      </c>
      <c r="AC11" s="5235"/>
      <c r="AD11" s="5217" t="s">
        <v>1037</v>
      </c>
      <c r="AE11" s="5216"/>
      <c r="AF11" s="5316"/>
      <c r="AG11" s="5235"/>
      <c r="AH11" s="5235"/>
      <c r="AI11" s="5316"/>
      <c r="AJ11" s="5235"/>
      <c r="AK11" s="5235"/>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5339"/>
      <c r="G12" s="5455"/>
      <c r="H12" s="5511"/>
      <c r="I12" s="1079" t="s">
        <v>91</v>
      </c>
      <c r="J12" s="1079" t="s">
        <v>1038</v>
      </c>
      <c r="K12" s="5235"/>
      <c r="L12" s="5364"/>
      <c r="M12" s="5364"/>
      <c r="N12" s="5235"/>
      <c r="O12" s="5235"/>
      <c r="P12" s="5300"/>
      <c r="Q12" s="5300"/>
      <c r="R12" s="5300"/>
      <c r="S12" s="1060" t="s">
        <v>88</v>
      </c>
      <c r="T12" s="1060" t="s">
        <v>89</v>
      </c>
      <c r="U12" s="1060" t="s">
        <v>87</v>
      </c>
      <c r="V12" s="1060" t="s">
        <v>1039</v>
      </c>
      <c r="W12" s="1060" t="s">
        <v>87</v>
      </c>
      <c r="X12" s="1060" t="s">
        <v>1040</v>
      </c>
      <c r="Y12" s="1060" t="s">
        <v>1041</v>
      </c>
      <c r="Z12" s="5317"/>
      <c r="AA12" s="5318"/>
      <c r="AB12" s="1067" t="s">
        <v>1042</v>
      </c>
      <c r="AC12" s="1067" t="s">
        <v>1043</v>
      </c>
      <c r="AD12" s="1067" t="s">
        <v>1042</v>
      </c>
      <c r="AE12" s="1067" t="s">
        <v>1043</v>
      </c>
      <c r="AF12" s="5364"/>
      <c r="AG12" s="1080" t="s">
        <v>1044</v>
      </c>
      <c r="AH12" s="1080" t="s">
        <v>1045</v>
      </c>
      <c r="AI12" s="5364"/>
      <c r="AJ12" s="1080" t="s">
        <v>1044</v>
      </c>
      <c r="AK12" s="1080" t="s">
        <v>1045</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1046</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5510"/>
      <c r="G17" s="5510"/>
      <c r="H17" s="5510"/>
      <c r="I17" s="5510"/>
      <c r="J17" s="5510"/>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5510"/>
      <c r="G18" s="5510"/>
      <c r="H18" s="5510"/>
      <c r="I18" s="5510"/>
      <c r="J18" s="5510"/>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5510"/>
      <c r="G19" s="5510"/>
      <c r="H19" s="5510"/>
      <c r="I19" s="5510"/>
      <c r="J19" s="5510"/>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84</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535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5359"/>
      <c r="H5" s="5359"/>
      <c r="I5" s="5359"/>
      <c r="J5" s="5359"/>
      <c r="W5" s="1081">
        <v>26</v>
      </c>
    </row>
    <row r="6" spans="1:23" ht="10.5" customHeight="1">
      <c r="F6" s="5331" t="str">
        <f>IF(org=0,"Не определено",org)</f>
        <v>ПАО "ТГК-1" филиал "Невский"</v>
      </c>
      <c r="G6" s="5331"/>
      <c r="H6" s="5331"/>
      <c r="I6" s="5331"/>
      <c r="J6" s="5331"/>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5515" t="s">
        <v>327</v>
      </c>
      <c r="G9" s="5516"/>
      <c r="H9" s="5516"/>
      <c r="I9" s="5516"/>
      <c r="J9" s="5516"/>
      <c r="K9" s="1166"/>
      <c r="L9" s="1083"/>
      <c r="M9" s="1083"/>
      <c r="N9" s="1083"/>
      <c r="O9" s="1083"/>
      <c r="P9" s="1083"/>
      <c r="Q9" s="1083"/>
      <c r="R9" s="1083"/>
      <c r="S9" s="1083"/>
      <c r="T9" s="1083"/>
      <c r="U9" s="1083"/>
      <c r="V9" s="1083"/>
      <c r="W9" s="1081">
        <v>10</v>
      </c>
    </row>
    <row r="10" spans="1:23" ht="25.15" customHeight="1">
      <c r="E10" s="1083"/>
      <c r="F10" s="5519" t="s">
        <v>90</v>
      </c>
      <c r="G10" s="5523" t="s">
        <v>1047</v>
      </c>
      <c r="H10" s="5505" t="s">
        <v>1048</v>
      </c>
      <c r="I10" s="5505"/>
      <c r="J10" s="5505"/>
      <c r="K10" s="1159"/>
      <c r="L10" s="1083"/>
      <c r="M10" s="1083"/>
      <c r="N10" s="1083"/>
      <c r="O10" s="1083"/>
      <c r="P10" s="1083"/>
      <c r="Q10" s="1083"/>
      <c r="R10" s="1083"/>
      <c r="S10" s="1083"/>
      <c r="T10" s="1083"/>
      <c r="U10" s="1083"/>
      <c r="V10" s="1083"/>
      <c r="W10" s="1081">
        <v>24</v>
      </c>
    </row>
    <row r="11" spans="1:23" ht="25.5" customHeight="1">
      <c r="E11" s="1083"/>
      <c r="F11" s="5520"/>
      <c r="G11" s="5523"/>
      <c r="H11" s="5522" t="e">
        <f>INDEX(IP_MAIN_LIST_NAME_IP,MATCH(H8,IP_MAIN_LIST_IP_ID,0))&amp;" ("&amp;INDEX(IP_MAIN_START_DATE,MATCH(H8,IP_MAIN_LIST_IP_ID,0))&amp;"-"&amp;INDEX(IP_MAIN_END_DATE,MATCH(H8,IP_MAIN_LIST_IP_ID,0))&amp;")"</f>
        <v>#N/A</v>
      </c>
      <c r="I11" s="5522"/>
      <c r="J11" s="5522"/>
      <c r="K11" s="1159"/>
      <c r="L11" s="1083"/>
      <c r="M11" s="1083"/>
      <c r="N11" s="1083"/>
      <c r="O11" s="1083"/>
      <c r="P11" s="1083"/>
      <c r="Q11" s="1083"/>
      <c r="R11" s="1083"/>
      <c r="S11" s="1083"/>
      <c r="T11" s="1083"/>
      <c r="U11" s="1083"/>
      <c r="V11" s="1083"/>
      <c r="W11" s="1081">
        <v>24</v>
      </c>
    </row>
    <row r="12" spans="1:23" ht="10.5" customHeight="1">
      <c r="F12" s="5521"/>
      <c r="G12" s="5523"/>
      <c r="H12" s="1152" t="s">
        <v>1049</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1050</v>
      </c>
      <c r="G14" s="5517" t="s">
        <v>1051</v>
      </c>
      <c r="H14" s="5517"/>
      <c r="I14" s="5517"/>
      <c r="J14" s="5517"/>
      <c r="K14" s="1160"/>
      <c r="W14" s="1081">
        <v>11</v>
      </c>
    </row>
    <row r="15" spans="1:23" ht="11.45" customHeight="1">
      <c r="F15" s="1156">
        <v>1</v>
      </c>
      <c r="G15" s="626" t="s">
        <v>1052</v>
      </c>
      <c r="H15" s="1162">
        <f t="shared" ref="H15:H36" si="0">SUM(I15:J15)</f>
        <v>0</v>
      </c>
      <c r="I15" s="1162">
        <f>SUM(I16:I27)</f>
        <v>0</v>
      </c>
      <c r="J15" s="1151"/>
      <c r="K15" s="1160"/>
      <c r="W15" s="1081">
        <v>11</v>
      </c>
    </row>
    <row r="16" spans="1:23" ht="24" customHeight="1">
      <c r="F16" s="1156" t="s">
        <v>1053</v>
      </c>
      <c r="G16" s="1163" t="s">
        <v>1054</v>
      </c>
      <c r="H16" s="1162">
        <f t="shared" si="0"/>
        <v>0</v>
      </c>
      <c r="I16" s="1161"/>
      <c r="J16" s="1151"/>
      <c r="K16" s="1160"/>
      <c r="W16" s="1081">
        <v>23</v>
      </c>
    </row>
    <row r="17" spans="6:23" ht="24" customHeight="1">
      <c r="F17" s="1156" t="s">
        <v>1055</v>
      </c>
      <c r="G17" s="1163" t="s">
        <v>1056</v>
      </c>
      <c r="H17" s="1162">
        <f t="shared" si="0"/>
        <v>0</v>
      </c>
      <c r="I17" s="1161"/>
      <c r="J17" s="1151"/>
      <c r="K17" s="1160"/>
      <c r="W17" s="1081">
        <v>23</v>
      </c>
    </row>
    <row r="18" spans="6:23" ht="35.65" customHeight="1">
      <c r="F18" s="1156" t="s">
        <v>1057</v>
      </c>
      <c r="G18" s="1163" t="s">
        <v>1058</v>
      </c>
      <c r="H18" s="1162">
        <f t="shared" si="0"/>
        <v>0</v>
      </c>
      <c r="I18" s="1161"/>
      <c r="J18" s="1151"/>
      <c r="K18" s="1160"/>
      <c r="W18" s="1081">
        <v>34</v>
      </c>
    </row>
    <row r="19" spans="6:23" ht="35.65" customHeight="1">
      <c r="F19" s="1156" t="s">
        <v>1059</v>
      </c>
      <c r="G19" s="1163" t="s">
        <v>1060</v>
      </c>
      <c r="H19" s="1162">
        <f t="shared" si="0"/>
        <v>0</v>
      </c>
      <c r="I19" s="1161"/>
      <c r="J19" s="1151"/>
      <c r="K19" s="1160"/>
      <c r="W19" s="1081">
        <v>34</v>
      </c>
    </row>
    <row r="20" spans="6:23" ht="48.2" customHeight="1">
      <c r="F20" s="1156" t="s">
        <v>1061</v>
      </c>
      <c r="G20" s="1163" t="s">
        <v>1062</v>
      </c>
      <c r="H20" s="1162">
        <f t="shared" si="0"/>
        <v>0</v>
      </c>
      <c r="I20" s="1161"/>
      <c r="J20" s="1151"/>
      <c r="K20" s="1160"/>
      <c r="W20" s="1081">
        <v>46</v>
      </c>
    </row>
    <row r="21" spans="6:23" ht="35.65" customHeight="1">
      <c r="F21" s="1156" t="s">
        <v>1063</v>
      </c>
      <c r="G21" s="1163" t="s">
        <v>1064</v>
      </c>
      <c r="H21" s="1162">
        <f t="shared" si="0"/>
        <v>0</v>
      </c>
      <c r="I21" s="1161"/>
      <c r="J21" s="1151"/>
      <c r="K21" s="1160"/>
      <c r="W21" s="1081">
        <v>34</v>
      </c>
    </row>
    <row r="22" spans="6:23" ht="35.65" customHeight="1">
      <c r="F22" s="1156" t="s">
        <v>1065</v>
      </c>
      <c r="G22" s="1163" t="s">
        <v>1066</v>
      </c>
      <c r="H22" s="1162">
        <f t="shared" si="0"/>
        <v>0</v>
      </c>
      <c r="I22" s="1161"/>
      <c r="J22" s="1151"/>
      <c r="K22" s="1160"/>
      <c r="W22" s="1081">
        <v>34</v>
      </c>
    </row>
    <row r="23" spans="6:23" ht="24" customHeight="1">
      <c r="F23" s="1156" t="s">
        <v>1067</v>
      </c>
      <c r="G23" s="1163" t="s">
        <v>1068</v>
      </c>
      <c r="H23" s="1162">
        <f t="shared" si="0"/>
        <v>0</v>
      </c>
      <c r="I23" s="1161"/>
      <c r="J23" s="1151"/>
      <c r="K23" s="1160"/>
      <c r="W23" s="1081">
        <v>23</v>
      </c>
    </row>
    <row r="24" spans="6:23" ht="24" customHeight="1">
      <c r="F24" s="1156" t="s">
        <v>1069</v>
      </c>
      <c r="G24" s="1163" t="s">
        <v>1070</v>
      </c>
      <c r="H24" s="1162">
        <f t="shared" si="0"/>
        <v>0</v>
      </c>
      <c r="I24" s="1161"/>
      <c r="J24" s="1151"/>
      <c r="K24" s="1160"/>
      <c r="W24" s="1081">
        <v>23</v>
      </c>
    </row>
    <row r="25" spans="6:23" ht="35.65" customHeight="1">
      <c r="F25" s="1156" t="s">
        <v>1071</v>
      </c>
      <c r="G25" s="1163" t="s">
        <v>1072</v>
      </c>
      <c r="H25" s="1162">
        <f t="shared" si="0"/>
        <v>0</v>
      </c>
      <c r="I25" s="1161"/>
      <c r="J25" s="1151"/>
      <c r="K25" s="1160"/>
      <c r="W25" s="1081">
        <v>34</v>
      </c>
    </row>
    <row r="26" spans="6:23" ht="35.65" customHeight="1">
      <c r="F26" s="1156" t="s">
        <v>1073</v>
      </c>
      <c r="G26" s="1163" t="s">
        <v>1074</v>
      </c>
      <c r="H26" s="1162">
        <f t="shared" si="0"/>
        <v>0</v>
      </c>
      <c r="I26" s="1161"/>
      <c r="J26" s="1151"/>
      <c r="K26" s="1160"/>
      <c r="W26" s="1081">
        <v>34</v>
      </c>
    </row>
    <row r="27" spans="6:23" ht="11.45" customHeight="1">
      <c r="F27" s="1156" t="s">
        <v>1075</v>
      </c>
      <c r="G27" s="1163" t="s">
        <v>1076</v>
      </c>
      <c r="H27" s="1162">
        <f t="shared" si="0"/>
        <v>0</v>
      </c>
      <c r="I27" s="1161"/>
      <c r="J27" s="1151"/>
      <c r="K27" s="1160"/>
      <c r="W27" s="1081">
        <v>11</v>
      </c>
    </row>
    <row r="28" spans="6:23" ht="11.45" customHeight="1">
      <c r="F28" s="1156">
        <v>2</v>
      </c>
      <c r="G28" s="626" t="s">
        <v>1077</v>
      </c>
      <c r="H28" s="1162">
        <f t="shared" si="0"/>
        <v>0</v>
      </c>
      <c r="I28" s="1162">
        <f>SUM(I29:I31)</f>
        <v>0</v>
      </c>
      <c r="J28" s="1151"/>
      <c r="K28" s="1160"/>
      <c r="W28" s="1081">
        <v>11</v>
      </c>
    </row>
    <row r="29" spans="6:23" ht="11.45" customHeight="1">
      <c r="F29" s="1156" t="s">
        <v>740</v>
      </c>
      <c r="G29" s="1163" t="s">
        <v>1078</v>
      </c>
      <c r="H29" s="1162">
        <f t="shared" si="0"/>
        <v>0</v>
      </c>
      <c r="I29" s="1161"/>
      <c r="J29" s="1151"/>
      <c r="K29" s="1160"/>
      <c r="W29" s="1081">
        <v>11</v>
      </c>
    </row>
    <row r="30" spans="6:23" ht="11.45" customHeight="1">
      <c r="F30" s="1156" t="s">
        <v>334</v>
      </c>
      <c r="G30" s="1163" t="s">
        <v>1079</v>
      </c>
      <c r="H30" s="1162">
        <f t="shared" si="0"/>
        <v>0</v>
      </c>
      <c r="I30" s="1161"/>
      <c r="J30" s="1151"/>
      <c r="K30" s="1160"/>
      <c r="W30" s="1081">
        <v>11</v>
      </c>
    </row>
    <row r="31" spans="6:23" ht="11.45" customHeight="1">
      <c r="F31" s="1156" t="s">
        <v>337</v>
      </c>
      <c r="G31" s="1163" t="s">
        <v>1080</v>
      </c>
      <c r="H31" s="1162">
        <f t="shared" si="0"/>
        <v>0</v>
      </c>
      <c r="I31" s="1161"/>
      <c r="J31" s="1151"/>
      <c r="K31" s="1160"/>
      <c r="W31" s="1081">
        <v>11</v>
      </c>
    </row>
    <row r="32" spans="6:23" ht="11.45" customHeight="1">
      <c r="F32" s="1156">
        <v>3</v>
      </c>
      <c r="G32" s="626" t="s">
        <v>1081</v>
      </c>
      <c r="H32" s="1162">
        <f t="shared" si="0"/>
        <v>0</v>
      </c>
      <c r="I32" s="1162">
        <f>SUM(I33:I34)</f>
        <v>0</v>
      </c>
      <c r="J32" s="1151"/>
      <c r="K32" s="1160"/>
      <c r="W32" s="1081">
        <v>11</v>
      </c>
    </row>
    <row r="33" spans="6:23" ht="48.2" customHeight="1">
      <c r="F33" s="1156" t="s">
        <v>351</v>
      </c>
      <c r="G33" s="1163" t="s">
        <v>1082</v>
      </c>
      <c r="H33" s="1162">
        <f t="shared" si="0"/>
        <v>0</v>
      </c>
      <c r="I33" s="1161"/>
      <c r="J33" s="1151"/>
      <c r="K33" s="1160"/>
      <c r="W33" s="1081">
        <v>46</v>
      </c>
    </row>
    <row r="34" spans="6:23" ht="11.45" customHeight="1">
      <c r="F34" s="1156" t="s">
        <v>359</v>
      </c>
      <c r="G34" s="1163" t="s">
        <v>1083</v>
      </c>
      <c r="H34" s="1162">
        <f t="shared" si="0"/>
        <v>0</v>
      </c>
      <c r="I34" s="1161"/>
      <c r="J34" s="1151"/>
      <c r="K34" s="1160"/>
      <c r="W34" s="1081">
        <v>11</v>
      </c>
    </row>
    <row r="35" spans="6:23" ht="11.45" customHeight="1">
      <c r="F35" s="1156">
        <v>4</v>
      </c>
      <c r="G35" s="626" t="s">
        <v>1084</v>
      </c>
      <c r="H35" s="1162">
        <f t="shared" si="0"/>
        <v>0</v>
      </c>
      <c r="I35" s="1161"/>
      <c r="J35" s="1151"/>
      <c r="K35" s="1160"/>
      <c r="W35" s="1081">
        <v>11</v>
      </c>
    </row>
    <row r="36" spans="6:23" ht="11.45" customHeight="1">
      <c r="F36" s="1156"/>
      <c r="G36" s="629" t="s">
        <v>1085</v>
      </c>
      <c r="H36" s="1162">
        <f t="shared" si="0"/>
        <v>0</v>
      </c>
      <c r="I36" s="1162">
        <f>SUM(I15,I28,I32,I35)</f>
        <v>0</v>
      </c>
      <c r="J36" s="1151"/>
      <c r="K36" s="1160"/>
      <c r="W36" s="1081">
        <v>11</v>
      </c>
    </row>
    <row r="37" spans="6:23" ht="29.25" customHeight="1">
      <c r="F37" s="1157" t="s">
        <v>1086</v>
      </c>
      <c r="G37" s="5518" t="s">
        <v>1087</v>
      </c>
      <c r="H37" s="5518"/>
      <c r="I37" s="5518"/>
      <c r="J37" s="5518"/>
      <c r="K37" s="1160"/>
      <c r="W37" s="1081">
        <v>28</v>
      </c>
    </row>
    <row r="38" spans="6:23" ht="24" customHeight="1">
      <c r="F38" s="1156" t="s">
        <v>111</v>
      </c>
      <c r="G38" s="626" t="s">
        <v>1088</v>
      </c>
      <c r="H38" s="1162">
        <f t="shared" ref="H38:H58" si="1">SUM(I38:J38)</f>
        <v>0</v>
      </c>
      <c r="I38" s="1162">
        <f>SUM(I39,I44,I47)</f>
        <v>0</v>
      </c>
      <c r="J38" s="1151"/>
      <c r="K38" s="1160"/>
      <c r="W38" s="1081">
        <v>23</v>
      </c>
    </row>
    <row r="39" spans="6:23" ht="11.45" customHeight="1">
      <c r="F39" s="1156" t="s">
        <v>1053</v>
      </c>
      <c r="G39" s="1163" t="s">
        <v>1052</v>
      </c>
      <c r="H39" s="1162">
        <f t="shared" si="1"/>
        <v>0</v>
      </c>
      <c r="I39" s="1162">
        <f>SUM(I40:I43)</f>
        <v>0</v>
      </c>
      <c r="J39" s="1151"/>
      <c r="K39" s="1160"/>
      <c r="W39" s="1081">
        <v>11</v>
      </c>
    </row>
    <row r="40" spans="6:23" ht="24" customHeight="1">
      <c r="F40" s="1156" t="s">
        <v>1089</v>
      </c>
      <c r="G40" s="1164" t="s">
        <v>1090</v>
      </c>
      <c r="H40" s="1162">
        <f t="shared" si="1"/>
        <v>0</v>
      </c>
      <c r="I40" s="1161"/>
      <c r="J40" s="1151"/>
      <c r="K40" s="1160"/>
      <c r="W40" s="1081">
        <v>23</v>
      </c>
    </row>
    <row r="41" spans="6:23" ht="11.45" customHeight="1">
      <c r="F41" s="1156" t="s">
        <v>1091</v>
      </c>
      <c r="G41" s="1164" t="s">
        <v>1092</v>
      </c>
      <c r="H41" s="1162">
        <f t="shared" si="1"/>
        <v>0</v>
      </c>
      <c r="I41" s="1161"/>
      <c r="J41" s="1151"/>
      <c r="K41" s="1160"/>
      <c r="W41" s="1081">
        <v>11</v>
      </c>
    </row>
    <row r="42" spans="6:23" ht="11.45" customHeight="1">
      <c r="F42" s="1156" t="s">
        <v>1093</v>
      </c>
      <c r="G42" s="1164" t="s">
        <v>1094</v>
      </c>
      <c r="H42" s="1162">
        <f t="shared" si="1"/>
        <v>0</v>
      </c>
      <c r="I42" s="1161"/>
      <c r="J42" s="1151"/>
      <c r="K42" s="1160"/>
      <c r="W42" s="1081">
        <v>11</v>
      </c>
    </row>
    <row r="43" spans="6:23" ht="35.65" customHeight="1">
      <c r="F43" s="1156" t="s">
        <v>1095</v>
      </c>
      <c r="G43" s="1164" t="s">
        <v>1096</v>
      </c>
      <c r="H43" s="1162">
        <f t="shared" si="1"/>
        <v>0</v>
      </c>
      <c r="I43" s="1161"/>
      <c r="J43" s="1151"/>
      <c r="K43" s="1160"/>
      <c r="W43" s="1081">
        <v>34</v>
      </c>
    </row>
    <row r="44" spans="6:23" ht="11.45" customHeight="1">
      <c r="F44" s="1156" t="s">
        <v>1055</v>
      </c>
      <c r="G44" s="1163" t="s">
        <v>1081</v>
      </c>
      <c r="H44" s="1162">
        <f t="shared" si="1"/>
        <v>0</v>
      </c>
      <c r="I44" s="1162">
        <f>SUM(I45:I46)</f>
        <v>0</v>
      </c>
      <c r="J44" s="1151"/>
      <c r="K44" s="1160"/>
      <c r="W44" s="1081">
        <v>11</v>
      </c>
    </row>
    <row r="45" spans="6:23" ht="48.2" customHeight="1">
      <c r="F45" s="1156" t="s">
        <v>1097</v>
      </c>
      <c r="G45" s="1164" t="s">
        <v>1082</v>
      </c>
      <c r="H45" s="1162">
        <f t="shared" si="1"/>
        <v>0</v>
      </c>
      <c r="I45" s="1161"/>
      <c r="J45" s="1151"/>
      <c r="K45" s="1160"/>
      <c r="W45" s="1081">
        <v>46</v>
      </c>
    </row>
    <row r="46" spans="6:23" ht="11.45" customHeight="1">
      <c r="F46" s="1156" t="s">
        <v>1098</v>
      </c>
      <c r="G46" s="1164" t="s">
        <v>1083</v>
      </c>
      <c r="H46" s="1162">
        <f t="shared" si="1"/>
        <v>0</v>
      </c>
      <c r="I46" s="1161"/>
      <c r="J46" s="1151"/>
      <c r="K46" s="1160"/>
      <c r="W46" s="1081">
        <v>11</v>
      </c>
    </row>
    <row r="47" spans="6:23" ht="11.45" customHeight="1">
      <c r="F47" s="1156" t="s">
        <v>1057</v>
      </c>
      <c r="G47" s="1163" t="s">
        <v>1099</v>
      </c>
      <c r="H47" s="1162">
        <f t="shared" si="1"/>
        <v>0</v>
      </c>
      <c r="I47" s="1161"/>
      <c r="J47" s="1151"/>
      <c r="K47" s="1160"/>
      <c r="W47" s="1081">
        <v>11</v>
      </c>
    </row>
    <row r="48" spans="6:23" ht="24" customHeight="1">
      <c r="F48" s="1156" t="s">
        <v>112</v>
      </c>
      <c r="G48" s="626" t="s">
        <v>1100</v>
      </c>
      <c r="H48" s="1162">
        <f t="shared" si="1"/>
        <v>0</v>
      </c>
      <c r="I48" s="1162">
        <f>SUM(I49,I54,I57)</f>
        <v>0</v>
      </c>
      <c r="J48" s="1151"/>
      <c r="K48" s="1160"/>
      <c r="W48" s="1081">
        <v>23</v>
      </c>
    </row>
    <row r="49" spans="1:23" ht="11.45" customHeight="1">
      <c r="F49" s="1156" t="s">
        <v>740</v>
      </c>
      <c r="G49" s="1163" t="s">
        <v>1052</v>
      </c>
      <c r="H49" s="1162">
        <f t="shared" si="1"/>
        <v>0</v>
      </c>
      <c r="I49" s="1162">
        <f>SUM(I50:I53)</f>
        <v>0</v>
      </c>
      <c r="J49" s="1151"/>
      <c r="K49" s="1160"/>
      <c r="W49" s="1081">
        <v>11</v>
      </c>
    </row>
    <row r="50" spans="1:23" ht="24" customHeight="1">
      <c r="F50" s="1156" t="s">
        <v>743</v>
      </c>
      <c r="G50" s="1164" t="s">
        <v>1090</v>
      </c>
      <c r="H50" s="1162">
        <f t="shared" si="1"/>
        <v>0</v>
      </c>
      <c r="I50" s="1161"/>
      <c r="J50" s="1151"/>
      <c r="K50" s="1160"/>
      <c r="W50" s="1081">
        <v>23</v>
      </c>
    </row>
    <row r="51" spans="1:23" ht="11.45" customHeight="1">
      <c r="F51" s="1156" t="s">
        <v>746</v>
      </c>
      <c r="G51" s="1164" t="s">
        <v>1092</v>
      </c>
      <c r="H51" s="1162">
        <f t="shared" si="1"/>
        <v>0</v>
      </c>
      <c r="I51" s="1161"/>
      <c r="J51" s="1151"/>
      <c r="K51" s="1160"/>
      <c r="W51" s="1081">
        <v>11</v>
      </c>
    </row>
    <row r="52" spans="1:23" ht="11.45" customHeight="1">
      <c r="F52" s="1156" t="s">
        <v>1101</v>
      </c>
      <c r="G52" s="1164" t="s">
        <v>1094</v>
      </c>
      <c r="H52" s="1162">
        <f t="shared" si="1"/>
        <v>0</v>
      </c>
      <c r="I52" s="1161"/>
      <c r="J52" s="1151"/>
      <c r="K52" s="1160"/>
      <c r="W52" s="1081">
        <v>11</v>
      </c>
    </row>
    <row r="53" spans="1:23" ht="35.65" customHeight="1">
      <c r="F53" s="1156" t="s">
        <v>1102</v>
      </c>
      <c r="G53" s="1164" t="s">
        <v>1096</v>
      </c>
      <c r="H53" s="1162">
        <f t="shared" si="1"/>
        <v>0</v>
      </c>
      <c r="I53" s="1161"/>
      <c r="J53" s="1151"/>
      <c r="K53" s="1160"/>
      <c r="W53" s="1081">
        <v>34</v>
      </c>
    </row>
    <row r="54" spans="1:23" ht="11.45" customHeight="1">
      <c r="F54" s="1156" t="s">
        <v>334</v>
      </c>
      <c r="G54" s="1163" t="s">
        <v>1081</v>
      </c>
      <c r="H54" s="1162">
        <f t="shared" si="1"/>
        <v>0</v>
      </c>
      <c r="I54" s="1162">
        <f>SUM(I55:I56)</f>
        <v>0</v>
      </c>
      <c r="J54" s="1151"/>
      <c r="K54" s="1160"/>
      <c r="W54" s="1081">
        <v>11</v>
      </c>
    </row>
    <row r="55" spans="1:23" ht="48.2" customHeight="1">
      <c r="F55" s="1156" t="s">
        <v>750</v>
      </c>
      <c r="G55" s="1164" t="s">
        <v>1082</v>
      </c>
      <c r="H55" s="1162">
        <f t="shared" si="1"/>
        <v>0</v>
      </c>
      <c r="I55" s="1161"/>
      <c r="J55" s="1151"/>
      <c r="K55" s="1160"/>
      <c r="W55" s="1081">
        <v>46</v>
      </c>
    </row>
    <row r="56" spans="1:23" ht="11.45" customHeight="1">
      <c r="F56" s="1156" t="s">
        <v>752</v>
      </c>
      <c r="G56" s="1164" t="s">
        <v>1083</v>
      </c>
      <c r="H56" s="1162">
        <f t="shared" si="1"/>
        <v>0</v>
      </c>
      <c r="I56" s="1161"/>
      <c r="J56" s="1151"/>
      <c r="K56" s="1160"/>
      <c r="W56" s="1081">
        <v>11</v>
      </c>
    </row>
    <row r="57" spans="1:23" ht="11.45" customHeight="1">
      <c r="F57" s="1156" t="s">
        <v>337</v>
      </c>
      <c r="G57" s="1163" t="s">
        <v>1099</v>
      </c>
      <c r="H57" s="1162">
        <f t="shared" si="1"/>
        <v>0</v>
      </c>
      <c r="I57" s="1161"/>
      <c r="J57" s="1151"/>
      <c r="K57" s="1160"/>
      <c r="W57" s="1081">
        <v>11</v>
      </c>
    </row>
    <row r="58" spans="1:23" ht="11.45" customHeight="1">
      <c r="F58" s="1156"/>
      <c r="G58" s="1165" t="s">
        <v>1085</v>
      </c>
      <c r="H58" s="1162">
        <f t="shared" si="1"/>
        <v>0</v>
      </c>
      <c r="I58" s="1162">
        <f>SUM(I38,I48)</f>
        <v>0</v>
      </c>
      <c r="J58" s="1151"/>
      <c r="K58" s="1160"/>
      <c r="W58" s="1081">
        <v>11</v>
      </c>
    </row>
    <row r="59" spans="1:23" ht="10.5" hidden="1" customHeight="1">
      <c r="A59" s="1092" t="s">
        <v>84</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554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5281"/>
      <c r="H5" s="5281"/>
      <c r="I5" s="5281"/>
      <c r="J5" s="5281"/>
      <c r="K5" s="5281"/>
      <c r="L5" s="5281"/>
      <c r="M5" s="5281"/>
      <c r="N5" s="5281"/>
      <c r="O5" s="5281"/>
      <c r="P5" s="5281"/>
      <c r="Q5" s="5281"/>
      <c r="R5" s="5281"/>
      <c r="S5" s="5281"/>
      <c r="T5" s="5281"/>
      <c r="U5" s="5281"/>
      <c r="V5" s="5281"/>
      <c r="W5" s="5281"/>
      <c r="X5" s="5281"/>
      <c r="Y5" s="5281"/>
      <c r="Z5" s="5281"/>
      <c r="AA5" s="5281"/>
      <c r="AB5" s="5281"/>
      <c r="AC5" s="5281"/>
      <c r="AD5" s="5281"/>
      <c r="AE5" s="5281"/>
      <c r="AF5" s="5281"/>
      <c r="AG5" s="5281"/>
      <c r="AH5" s="5281"/>
      <c r="AI5" s="5281"/>
      <c r="AJ5" s="5281"/>
      <c r="AK5" s="5281"/>
      <c r="AL5" s="5281"/>
      <c r="AM5" s="5281"/>
      <c r="AN5" s="5281"/>
      <c r="AO5" s="5281"/>
      <c r="AP5" s="5281"/>
      <c r="AQ5" s="5281"/>
      <c r="AR5" s="5281"/>
      <c r="AS5" s="5281"/>
      <c r="AT5" s="5281"/>
      <c r="AU5" s="5281"/>
      <c r="AV5" s="5281"/>
      <c r="AW5" s="5281"/>
      <c r="AX5" s="5281"/>
      <c r="AY5" s="5281"/>
      <c r="AZ5" s="5281"/>
      <c r="BA5" s="5281"/>
      <c r="BB5" s="5281"/>
      <c r="BC5" s="5281"/>
      <c r="BD5" s="5281"/>
      <c r="BE5" s="5281"/>
      <c r="BF5" s="5281"/>
      <c r="BG5" s="5281"/>
      <c r="BH5" s="5281"/>
      <c r="BI5" s="5281"/>
      <c r="BJ5" s="5281"/>
      <c r="BK5" s="5281"/>
      <c r="BL5" s="5281"/>
      <c r="BM5" s="5281"/>
      <c r="BN5" s="5281"/>
      <c r="BO5" s="5281"/>
      <c r="BP5" s="5281"/>
      <c r="BQ5" s="5281"/>
      <c r="BR5" s="5281"/>
      <c r="BS5" s="5281"/>
      <c r="GC5" s="1797">
        <v>26</v>
      </c>
    </row>
    <row r="6" spans="2:185" s="2001" customFormat="1" ht="18.75" customHeight="1">
      <c r="B6" s="872"/>
      <c r="E6" s="874"/>
      <c r="F6" s="5353" t="str">
        <f>IF(org=0,"Не определено",org)</f>
        <v>ПАО "ТГК-1" филиал "Невский"</v>
      </c>
      <c r="G6" s="5354"/>
      <c r="H6" s="5354"/>
      <c r="I6" s="5354"/>
      <c r="J6" s="5354"/>
      <c r="K6" s="5354"/>
      <c r="L6" s="5354"/>
      <c r="M6" s="5354"/>
      <c r="N6" s="5354"/>
      <c r="O6" s="5354"/>
      <c r="P6" s="5354"/>
      <c r="Q6" s="5354"/>
      <c r="R6" s="5354"/>
      <c r="S6" s="5354"/>
      <c r="T6" s="5354"/>
      <c r="U6" s="5354"/>
      <c r="V6" s="5354"/>
      <c r="W6" s="5354"/>
      <c r="X6" s="5354"/>
      <c r="Y6" s="5354"/>
      <c r="Z6" s="5354"/>
      <c r="AA6" s="5354"/>
      <c r="AB6" s="5354"/>
      <c r="AC6" s="5354"/>
      <c r="AD6" s="5354"/>
      <c r="AE6" s="5354"/>
      <c r="AF6" s="5354"/>
      <c r="AG6" s="5354"/>
      <c r="AH6" s="5354"/>
      <c r="AI6" s="5354"/>
      <c r="AJ6" s="5354"/>
      <c r="AK6" s="5354"/>
      <c r="AL6" s="5354"/>
      <c r="AM6" s="5354"/>
      <c r="AN6" s="5354"/>
      <c r="AO6" s="5354"/>
      <c r="AP6" s="5354"/>
      <c r="AQ6" s="5354"/>
      <c r="AR6" s="5354"/>
      <c r="AS6" s="5354"/>
      <c r="AT6" s="5354"/>
      <c r="AU6" s="5354"/>
      <c r="AV6" s="5354"/>
      <c r="AW6" s="5354"/>
      <c r="AX6" s="5354"/>
      <c r="AY6" s="5354"/>
      <c r="AZ6" s="5354"/>
      <c r="BA6" s="5354"/>
      <c r="BB6" s="5354"/>
      <c r="BC6" s="5354"/>
      <c r="BD6" s="5354"/>
      <c r="BE6" s="5354"/>
      <c r="BF6" s="5354"/>
      <c r="BG6" s="5354"/>
      <c r="BH6" s="5354"/>
      <c r="BI6" s="5354"/>
      <c r="BJ6" s="5354"/>
      <c r="BK6" s="5354"/>
      <c r="BL6" s="5354"/>
      <c r="BM6" s="5354"/>
      <c r="BN6" s="5354"/>
      <c r="BO6" s="5354"/>
      <c r="BP6" s="5354"/>
      <c r="BQ6" s="5354"/>
      <c r="BR6" s="5354"/>
      <c r="BS6" s="5354"/>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5533" t="s">
        <v>1103</v>
      </c>
      <c r="P8" s="5534"/>
      <c r="Q8" s="5534"/>
      <c r="R8" s="5534"/>
      <c r="S8" s="5534"/>
      <c r="T8" s="5534"/>
      <c r="U8" s="5534"/>
      <c r="V8" s="5534"/>
      <c r="W8" s="5534"/>
      <c r="X8" s="5534"/>
      <c r="Y8" s="5534"/>
      <c r="Z8" s="5534"/>
      <c r="AA8" s="5534"/>
      <c r="AB8" s="5534"/>
      <c r="AC8" s="5534"/>
      <c r="AD8" s="5534"/>
      <c r="AE8" s="5534"/>
      <c r="AF8" s="5534"/>
      <c r="AG8" s="5534"/>
      <c r="AH8" s="5534"/>
      <c r="AI8" s="5534"/>
      <c r="AJ8" s="5534"/>
      <c r="AK8" s="5534"/>
      <c r="AL8" s="5534"/>
      <c r="AM8" s="5534"/>
      <c r="AN8" s="5534"/>
      <c r="AO8" s="5534"/>
      <c r="AP8" s="5534"/>
      <c r="AQ8" s="5534"/>
      <c r="AR8" s="5534"/>
      <c r="AS8" s="5534"/>
      <c r="AT8" s="5534"/>
      <c r="AU8" s="5534"/>
      <c r="AV8" s="5534"/>
      <c r="AW8" s="5534"/>
      <c r="AX8" s="5534"/>
      <c r="AY8" s="5534"/>
      <c r="AZ8" s="5534"/>
      <c r="BA8" s="5534"/>
      <c r="BB8" s="5534"/>
      <c r="BC8" s="5534"/>
      <c r="BD8" s="5534"/>
      <c r="BE8" s="5534"/>
      <c r="BF8" s="5534"/>
      <c r="BG8" s="5534"/>
      <c r="BH8" s="5534"/>
      <c r="BI8" s="5534"/>
      <c r="BJ8" s="5534"/>
      <c r="BK8" s="5534"/>
      <c r="BL8" s="5534"/>
      <c r="BM8" s="5534"/>
      <c r="BN8" s="5534"/>
      <c r="BO8" s="5534"/>
      <c r="BP8" s="5534"/>
      <c r="BQ8" s="5534"/>
      <c r="BR8" s="5534"/>
      <c r="BS8" s="5535"/>
      <c r="BT8" s="5536"/>
      <c r="BU8" s="5537"/>
      <c r="BV8" s="5537"/>
      <c r="BW8" s="5537"/>
      <c r="BX8" s="5537"/>
      <c r="BY8" s="5537"/>
      <c r="BZ8" s="5537"/>
      <c r="CA8" s="5537"/>
      <c r="CB8" s="5537"/>
      <c r="CC8" s="5537"/>
      <c r="CD8" s="5537"/>
      <c r="CE8" s="5537"/>
      <c r="CF8" s="5537"/>
      <c r="CG8" s="5537"/>
      <c r="CH8" s="5537"/>
      <c r="CI8" s="5537"/>
      <c r="CJ8" s="5537"/>
      <c r="CK8" s="5537"/>
      <c r="CL8" s="5537"/>
      <c r="CM8" s="5537"/>
      <c r="CN8" s="5537"/>
      <c r="CO8" s="5537"/>
      <c r="CP8" s="5537"/>
      <c r="CQ8" s="5537"/>
      <c r="CR8" s="5537"/>
      <c r="CS8" s="5537"/>
      <c r="CT8" s="5537"/>
      <c r="CU8" s="5537"/>
      <c r="CV8" s="5537"/>
      <c r="CW8" s="5537"/>
      <c r="CX8" s="5538"/>
      <c r="CY8" s="5539"/>
      <c r="CZ8" s="5540"/>
      <c r="DA8" s="5540"/>
      <c r="DB8" s="5540"/>
      <c r="DC8" s="5540"/>
      <c r="DD8" s="5540"/>
      <c r="DE8" s="5540"/>
      <c r="DF8" s="5540"/>
      <c r="DG8" s="5540"/>
      <c r="DH8" s="5540"/>
      <c r="DI8" s="5540"/>
      <c r="DJ8" s="5540"/>
      <c r="DK8" s="5540"/>
      <c r="DL8" s="5540"/>
      <c r="DM8" s="5540"/>
      <c r="DN8" s="5540"/>
      <c r="DO8" s="5540"/>
      <c r="DP8" s="5540"/>
      <c r="DQ8" s="5540"/>
      <c r="DR8" s="5540"/>
      <c r="DS8" s="5540"/>
      <c r="DT8" s="5540"/>
      <c r="DU8" s="5540"/>
      <c r="DV8" s="5540"/>
      <c r="DW8" s="5540"/>
      <c r="DX8" s="5541"/>
      <c r="DY8" s="5527" t="s">
        <v>1104</v>
      </c>
      <c r="DZ8" s="5528"/>
      <c r="EA8" s="5528"/>
      <c r="EB8" s="5528"/>
      <c r="EC8" s="5528"/>
      <c r="ED8" s="5528"/>
      <c r="EE8" s="5528"/>
      <c r="EF8" s="5528"/>
      <c r="EG8" s="5528"/>
      <c r="EH8" s="5528"/>
      <c r="EI8" s="5528"/>
      <c r="EJ8" s="5528"/>
      <c r="EK8" s="5528"/>
      <c r="EL8" s="5528"/>
      <c r="EM8" s="5528"/>
      <c r="EN8" s="5528"/>
      <c r="EO8" s="5528"/>
      <c r="EP8" s="5528"/>
      <c r="EQ8" s="5528"/>
      <c r="ER8" s="5528"/>
      <c r="ES8" s="5528"/>
      <c r="ET8" s="5528"/>
      <c r="EU8" s="5528"/>
      <c r="EV8" s="5528"/>
      <c r="EW8" s="5528"/>
      <c r="EX8" s="5528"/>
      <c r="EY8" s="5528"/>
      <c r="EZ8" s="5528"/>
      <c r="FA8" s="5528"/>
      <c r="FB8" s="5528"/>
      <c r="FC8" s="5528"/>
      <c r="FD8" s="5528"/>
      <c r="FE8" s="5528"/>
      <c r="FF8" s="5528"/>
      <c r="FG8" s="5528"/>
      <c r="FH8" s="5528"/>
      <c r="FI8" s="5528"/>
      <c r="FJ8" s="5528"/>
      <c r="FK8" s="5528"/>
      <c r="FL8" s="5528"/>
      <c r="FM8" s="5528"/>
      <c r="FN8" s="5528"/>
      <c r="FO8" s="5528"/>
      <c r="FP8" s="5528"/>
      <c r="FQ8" s="5528"/>
      <c r="FR8" s="5528"/>
      <c r="FS8" s="5528"/>
      <c r="FT8" s="5528"/>
      <c r="FU8" s="5528"/>
      <c r="FV8" s="5528"/>
      <c r="FW8" s="5529"/>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5530"/>
      <c r="FX9" s="985"/>
      <c r="GC9" s="862">
        <v>0</v>
      </c>
    </row>
    <row r="10" spans="2:185" s="862" customFormat="1" ht="11.45" customHeight="1">
      <c r="B10" s="863"/>
      <c r="F10" s="5506" t="s">
        <v>327</v>
      </c>
      <c r="G10" s="5543"/>
      <c r="H10" s="5543"/>
      <c r="I10" s="5543"/>
      <c r="J10" s="5543"/>
      <c r="K10" s="5543"/>
      <c r="L10" s="5543"/>
      <c r="M10" s="5543"/>
      <c r="N10" s="5543"/>
      <c r="O10" s="5543"/>
      <c r="P10" s="5543"/>
      <c r="Q10" s="5543"/>
      <c r="R10" s="5543"/>
      <c r="S10" s="5543"/>
      <c r="T10" s="5543"/>
      <c r="U10" s="5543"/>
      <c r="V10" s="5543"/>
      <c r="W10" s="5543"/>
      <c r="X10" s="5543"/>
      <c r="Y10" s="5543"/>
      <c r="Z10" s="5543"/>
      <c r="AA10" s="5543"/>
      <c r="AB10" s="5543"/>
      <c r="AC10" s="5543"/>
      <c r="AD10" s="5543"/>
      <c r="AE10" s="5543"/>
      <c r="AF10" s="5543"/>
      <c r="AG10" s="5543"/>
      <c r="AH10" s="5543"/>
      <c r="AI10" s="5543"/>
      <c r="AJ10" s="5543"/>
      <c r="AK10" s="5543"/>
      <c r="AL10" s="5543"/>
      <c r="AM10" s="5543"/>
      <c r="AN10" s="5543"/>
      <c r="AO10" s="5543"/>
      <c r="AP10" s="5543"/>
      <c r="AQ10" s="5543"/>
      <c r="AR10" s="5543"/>
      <c r="AS10" s="5543"/>
      <c r="AT10" s="5543"/>
      <c r="AU10" s="5543"/>
      <c r="AV10" s="5543"/>
      <c r="AW10" s="5543"/>
      <c r="AX10" s="5543"/>
      <c r="AY10" s="5543"/>
      <c r="AZ10" s="5543"/>
      <c r="BA10" s="5543"/>
      <c r="BB10" s="5543"/>
      <c r="BC10" s="5543"/>
      <c r="BD10" s="5543"/>
      <c r="BE10" s="5543"/>
      <c r="BF10" s="5543"/>
      <c r="BG10" s="5543"/>
      <c r="BH10" s="5543"/>
      <c r="BI10" s="5543"/>
      <c r="BJ10" s="5543"/>
      <c r="BK10" s="5543"/>
      <c r="BL10" s="5543"/>
      <c r="BM10" s="5543"/>
      <c r="BN10" s="5543"/>
      <c r="BO10" s="5543"/>
      <c r="BP10" s="5543"/>
      <c r="BQ10" s="5543"/>
      <c r="BR10" s="5543"/>
      <c r="BS10" s="5543"/>
      <c r="BT10" s="5543"/>
      <c r="BU10" s="5543"/>
      <c r="BV10" s="5543"/>
      <c r="BW10" s="5543"/>
      <c r="BX10" s="5543"/>
      <c r="BY10" s="5543"/>
      <c r="BZ10" s="5543"/>
      <c r="CA10" s="5543"/>
      <c r="CB10" s="5543"/>
      <c r="CC10" s="5543"/>
      <c r="CD10" s="5543"/>
      <c r="CE10" s="5543"/>
      <c r="CF10" s="5543"/>
      <c r="CG10" s="5543"/>
      <c r="CH10" s="5543"/>
      <c r="CI10" s="5543"/>
      <c r="CJ10" s="5543"/>
      <c r="CK10" s="5543"/>
      <c r="CL10" s="5543"/>
      <c r="CM10" s="5543"/>
      <c r="CN10" s="5543"/>
      <c r="CO10" s="5543"/>
      <c r="CP10" s="5543"/>
      <c r="CQ10" s="5543"/>
      <c r="CR10" s="5543"/>
      <c r="CS10" s="5543"/>
      <c r="CT10" s="5543"/>
      <c r="CU10" s="5543"/>
      <c r="CV10" s="5543"/>
      <c r="CW10" s="5543"/>
      <c r="CX10" s="5543"/>
      <c r="CY10" s="5543"/>
      <c r="CZ10" s="5543"/>
      <c r="DA10" s="5543"/>
      <c r="DB10" s="5543"/>
      <c r="DC10" s="5543"/>
      <c r="DD10" s="5543"/>
      <c r="DE10" s="5543"/>
      <c r="DF10" s="5543"/>
      <c r="DG10" s="5543"/>
      <c r="DH10" s="5543"/>
      <c r="DI10" s="5543"/>
      <c r="DJ10" s="5543"/>
      <c r="DK10" s="5543"/>
      <c r="DL10" s="5543"/>
      <c r="DM10" s="5543"/>
      <c r="DN10" s="5543"/>
      <c r="DO10" s="5543"/>
      <c r="DP10" s="5543"/>
      <c r="DQ10" s="5543"/>
      <c r="DR10" s="5543"/>
      <c r="DS10" s="5543"/>
      <c r="DT10" s="5543"/>
      <c r="DU10" s="5543"/>
      <c r="DV10" s="5543"/>
      <c r="DW10" s="5543"/>
      <c r="DX10" s="5543"/>
      <c r="DY10" s="5543"/>
      <c r="DZ10" s="5543"/>
      <c r="EA10" s="5543"/>
      <c r="EB10" s="5543"/>
      <c r="EC10" s="5543"/>
      <c r="ED10" s="5543"/>
      <c r="EE10" s="5543"/>
      <c r="EF10" s="5543"/>
      <c r="EG10" s="5543"/>
      <c r="EH10" s="5543"/>
      <c r="EI10" s="5543"/>
      <c r="EJ10" s="5543"/>
      <c r="EK10" s="5543"/>
      <c r="EL10" s="5543"/>
      <c r="EM10" s="5543"/>
      <c r="EN10" s="5543"/>
      <c r="EO10" s="5543"/>
      <c r="EP10" s="5543"/>
      <c r="EQ10" s="5543"/>
      <c r="ER10" s="5543"/>
      <c r="ES10" s="5543"/>
      <c r="ET10" s="5543"/>
      <c r="EU10" s="5543"/>
      <c r="EV10" s="5543"/>
      <c r="EW10" s="5543"/>
      <c r="EX10" s="5543"/>
      <c r="EY10" s="5543"/>
      <c r="EZ10" s="5543"/>
      <c r="FA10" s="5543"/>
      <c r="FB10" s="5543"/>
      <c r="FC10" s="5543"/>
      <c r="FD10" s="5543"/>
      <c r="FE10" s="5543"/>
      <c r="FF10" s="5543"/>
      <c r="FG10" s="5543"/>
      <c r="FH10" s="5543"/>
      <c r="FI10" s="5543"/>
      <c r="FJ10" s="5543"/>
      <c r="FK10" s="5543"/>
      <c r="FL10" s="5543"/>
      <c r="FM10" s="5543"/>
      <c r="FN10" s="5543"/>
      <c r="FO10" s="5543"/>
      <c r="FP10" s="5543"/>
      <c r="FQ10" s="5543"/>
      <c r="FR10" s="5543"/>
      <c r="FS10" s="5543"/>
      <c r="FT10" s="5543"/>
      <c r="FU10" s="5543"/>
      <c r="FV10" s="5544"/>
      <c r="FW10" s="5530"/>
      <c r="FX10" s="985"/>
      <c r="GC10" s="862">
        <v>11</v>
      </c>
    </row>
    <row r="11" spans="2:185" ht="12.75" customHeight="1">
      <c r="E11" s="866"/>
      <c r="F11" s="5335" t="s">
        <v>90</v>
      </c>
      <c r="G11" s="5335" t="s">
        <v>1105</v>
      </c>
      <c r="H11" s="5335" t="s">
        <v>1106</v>
      </c>
      <c r="I11" s="5335" t="s">
        <v>1107</v>
      </c>
      <c r="J11" s="5542"/>
      <c r="K11" s="5542"/>
      <c r="L11" s="5542"/>
      <c r="M11" s="5542"/>
      <c r="N11" s="5542"/>
      <c r="O11" s="5339" t="s">
        <v>1108</v>
      </c>
      <c r="P11" s="5339"/>
      <c r="Q11" s="5339"/>
      <c r="R11" s="5339"/>
      <c r="S11" s="5339"/>
      <c r="T11" s="5339"/>
      <c r="U11" s="5339"/>
      <c r="V11" s="5339"/>
      <c r="W11" s="5339"/>
      <c r="X11" s="5339"/>
      <c r="Y11" s="5339"/>
      <c r="Z11" s="5339"/>
      <c r="AA11" s="5339"/>
      <c r="AB11" s="5339"/>
      <c r="AC11" s="5525"/>
      <c r="AD11" s="5525"/>
      <c r="AE11" s="5525"/>
      <c r="AF11" s="5525"/>
      <c r="AG11" s="5525"/>
      <c r="AH11" s="5525"/>
      <c r="AI11" s="5525"/>
      <c r="AJ11" s="5525"/>
      <c r="AK11" s="5525"/>
      <c r="AL11" s="5525"/>
      <c r="AM11" s="5525"/>
      <c r="AN11" s="5525"/>
      <c r="AO11" s="5525"/>
      <c r="AP11" s="5525"/>
      <c r="AQ11" s="5525"/>
      <c r="AR11" s="5525"/>
      <c r="AS11" s="5525"/>
      <c r="AT11" s="5525"/>
      <c r="AU11" s="5525"/>
      <c r="AV11" s="5525"/>
      <c r="AW11" s="5525"/>
      <c r="AX11" s="5525"/>
      <c r="AY11" s="5525"/>
      <c r="AZ11" s="5525"/>
      <c r="BA11" s="5525"/>
      <c r="BB11" s="5525"/>
      <c r="BC11" s="5525"/>
      <c r="BD11" s="5525"/>
      <c r="BE11" s="5525"/>
      <c r="BF11" s="5525"/>
      <c r="BG11" s="5525"/>
      <c r="BH11" s="5525"/>
      <c r="BI11" s="5525"/>
      <c r="BJ11" s="5525"/>
      <c r="BK11" s="5525"/>
      <c r="BL11" s="5525"/>
      <c r="BM11" s="5525"/>
      <c r="BN11" s="5525"/>
      <c r="BO11" s="5525"/>
      <c r="BP11" s="5525"/>
      <c r="BQ11" s="5525"/>
      <c r="BR11" s="5525"/>
      <c r="BS11" s="5526"/>
      <c r="BT11" s="5492" t="s">
        <v>1108</v>
      </c>
      <c r="BU11" s="5493"/>
      <c r="BV11" s="5493"/>
      <c r="BW11" s="5493"/>
      <c r="BX11" s="5493"/>
      <c r="BY11" s="5493"/>
      <c r="BZ11" s="5493"/>
      <c r="CA11" s="5493"/>
      <c r="CB11" s="5493"/>
      <c r="CC11" s="5493"/>
      <c r="CD11" s="5493"/>
      <c r="CE11" s="5493"/>
      <c r="CF11" s="5493"/>
      <c r="CG11" s="5493"/>
      <c r="CH11" s="5493"/>
      <c r="CI11" s="5493"/>
      <c r="CJ11" s="5493"/>
      <c r="CK11" s="5524"/>
      <c r="CL11" s="5532"/>
      <c r="CM11" s="5525"/>
      <c r="CN11" s="5525"/>
      <c r="CO11" s="5525"/>
      <c r="CP11" s="5525"/>
      <c r="CQ11" s="5525"/>
      <c r="CR11" s="5525"/>
      <c r="CS11" s="5525"/>
      <c r="CT11" s="5525"/>
      <c r="CU11" s="5525"/>
      <c r="CV11" s="5525"/>
      <c r="CW11" s="5525"/>
      <c r="CX11" s="5526"/>
      <c r="CY11" s="5492" t="s">
        <v>1108</v>
      </c>
      <c r="CZ11" s="5493"/>
      <c r="DA11" s="5493"/>
      <c r="DB11" s="5493"/>
      <c r="DC11" s="5493"/>
      <c r="DD11" s="5493"/>
      <c r="DE11" s="5493"/>
      <c r="DF11" s="5493"/>
      <c r="DG11" s="5493"/>
      <c r="DH11" s="5493"/>
      <c r="DI11" s="5493"/>
      <c r="DJ11" s="5524"/>
      <c r="DK11" s="5532"/>
      <c r="DL11" s="5525"/>
      <c r="DM11" s="5525"/>
      <c r="DN11" s="5525"/>
      <c r="DO11" s="5525"/>
      <c r="DP11" s="5525"/>
      <c r="DQ11" s="5525"/>
      <c r="DR11" s="5525"/>
      <c r="DS11" s="5525"/>
      <c r="DT11" s="5525"/>
      <c r="DU11" s="5525"/>
      <c r="DV11" s="5525"/>
      <c r="DW11" s="5525"/>
      <c r="DX11" s="5525"/>
      <c r="DY11" s="5525"/>
      <c r="DZ11" s="5525"/>
      <c r="EA11" s="5525"/>
      <c r="EB11" s="5525"/>
      <c r="EC11" s="5525"/>
      <c r="ED11" s="5525"/>
      <c r="EE11" s="5525"/>
      <c r="EF11" s="5525"/>
      <c r="EG11" s="5525"/>
      <c r="EH11" s="5525"/>
      <c r="EI11" s="5525"/>
      <c r="EJ11" s="5525"/>
      <c r="EK11" s="5525"/>
      <c r="EL11" s="5525"/>
      <c r="EM11" s="5525"/>
      <c r="EN11" s="5525"/>
      <c r="EO11" s="5525"/>
      <c r="EP11" s="5525"/>
      <c r="EQ11" s="5525"/>
      <c r="ER11" s="5525"/>
      <c r="ES11" s="5525"/>
      <c r="ET11" s="5525"/>
      <c r="EU11" s="5525"/>
      <c r="EV11" s="5525"/>
      <c r="EW11" s="5525"/>
      <c r="EX11" s="5525"/>
      <c r="EY11" s="5525"/>
      <c r="EZ11" s="5525"/>
      <c r="FA11" s="5525"/>
      <c r="FB11" s="5525"/>
      <c r="FC11" s="5525"/>
      <c r="FD11" s="5525"/>
      <c r="FE11" s="5525"/>
      <c r="FF11" s="5525"/>
      <c r="FG11" s="5525"/>
      <c r="FH11" s="5525"/>
      <c r="FI11" s="5525"/>
      <c r="FJ11" s="5525"/>
      <c r="FK11" s="5525"/>
      <c r="FL11" s="5525"/>
      <c r="FM11" s="5525"/>
      <c r="FN11" s="5525"/>
      <c r="FO11" s="5525"/>
      <c r="FP11" s="5525"/>
      <c r="FQ11" s="5525"/>
      <c r="FR11" s="5525"/>
      <c r="FS11" s="5525"/>
      <c r="FT11" s="5525"/>
      <c r="FU11" s="5525"/>
      <c r="FV11" s="5525"/>
      <c r="FW11" s="5530"/>
      <c r="FX11" s="696"/>
      <c r="GC11" s="855">
        <v>12</v>
      </c>
    </row>
    <row r="12" spans="2:185" ht="12.75" customHeight="1">
      <c r="D12" s="867"/>
      <c r="E12" s="866"/>
      <c r="F12" s="5335"/>
      <c r="G12" s="5335"/>
      <c r="H12" s="5335"/>
      <c r="I12" s="5335"/>
      <c r="J12" s="5542"/>
      <c r="K12" s="5542"/>
      <c r="L12" s="5542"/>
      <c r="M12" s="5542"/>
      <c r="N12" s="5542"/>
      <c r="O12" s="5339" t="s">
        <v>1109</v>
      </c>
      <c r="P12" s="5339"/>
      <c r="Q12" s="5339"/>
      <c r="R12" s="5339"/>
      <c r="S12" s="5339" t="s">
        <v>1110</v>
      </c>
      <c r="T12" s="5339"/>
      <c r="U12" s="5339"/>
      <c r="V12" s="5339"/>
      <c r="W12" s="5339"/>
      <c r="X12" s="5339"/>
      <c r="Y12" s="5339"/>
      <c r="Z12" s="5339"/>
      <c r="AA12" s="5339"/>
      <c r="AB12" s="5339"/>
      <c r="AC12" s="5525"/>
      <c r="AD12" s="5525"/>
      <c r="AE12" s="5525"/>
      <c r="AF12" s="5525"/>
      <c r="AG12" s="5525"/>
      <c r="AH12" s="5525"/>
      <c r="AI12" s="5525"/>
      <c r="AJ12" s="5525"/>
      <c r="AK12" s="5525"/>
      <c r="AL12" s="5525"/>
      <c r="AM12" s="5525"/>
      <c r="AN12" s="5525"/>
      <c r="AO12" s="5525"/>
      <c r="AP12" s="5525"/>
      <c r="AQ12" s="5525"/>
      <c r="AR12" s="5525"/>
      <c r="AS12" s="5525"/>
      <c r="AT12" s="5525"/>
      <c r="AU12" s="5525"/>
      <c r="AV12" s="5525"/>
      <c r="AW12" s="5525"/>
      <c r="AX12" s="5525"/>
      <c r="AY12" s="5525"/>
      <c r="AZ12" s="5525"/>
      <c r="BA12" s="5525"/>
      <c r="BB12" s="5525"/>
      <c r="BC12" s="5525"/>
      <c r="BD12" s="5525"/>
      <c r="BE12" s="5525"/>
      <c r="BF12" s="5525"/>
      <c r="BG12" s="5525"/>
      <c r="BH12" s="5525"/>
      <c r="BI12" s="5525"/>
      <c r="BJ12" s="5525"/>
      <c r="BK12" s="5525"/>
      <c r="BL12" s="5525"/>
      <c r="BM12" s="5525"/>
      <c r="BN12" s="5525"/>
      <c r="BO12" s="5525"/>
      <c r="BP12" s="5525"/>
      <c r="BQ12" s="5525"/>
      <c r="BR12" s="5525"/>
      <c r="BS12" s="5526"/>
      <c r="BT12" s="5492" t="s">
        <v>1111</v>
      </c>
      <c r="BU12" s="5493"/>
      <c r="BV12" s="5493"/>
      <c r="BW12" s="5524"/>
      <c r="BX12" s="5492" t="s">
        <v>1112</v>
      </c>
      <c r="BY12" s="5493"/>
      <c r="BZ12" s="5493"/>
      <c r="CA12" s="5524"/>
      <c r="CB12" s="5492" t="s">
        <v>1113</v>
      </c>
      <c r="CC12" s="5524"/>
      <c r="CD12" s="5492" t="s">
        <v>1114</v>
      </c>
      <c r="CE12" s="5493"/>
      <c r="CF12" s="5493"/>
      <c r="CG12" s="5493"/>
      <c r="CH12" s="5493"/>
      <c r="CI12" s="5493"/>
      <c r="CJ12" s="5493"/>
      <c r="CK12" s="5524"/>
      <c r="CL12" s="5532"/>
      <c r="CM12" s="5525"/>
      <c r="CN12" s="5525"/>
      <c r="CO12" s="5525"/>
      <c r="CP12" s="5525"/>
      <c r="CQ12" s="5525"/>
      <c r="CR12" s="5525"/>
      <c r="CS12" s="5525"/>
      <c r="CT12" s="5525"/>
      <c r="CU12" s="5525"/>
      <c r="CV12" s="5525"/>
      <c r="CW12" s="5525"/>
      <c r="CX12" s="5526"/>
      <c r="CY12" s="5492" t="s">
        <v>1115</v>
      </c>
      <c r="CZ12" s="5493"/>
      <c r="DA12" s="5493"/>
      <c r="DB12" s="5493"/>
      <c r="DC12" s="5493"/>
      <c r="DD12" s="5524"/>
      <c r="DE12" s="5492" t="s">
        <v>1116</v>
      </c>
      <c r="DF12" s="5524"/>
      <c r="DG12" s="5492" t="s">
        <v>1114</v>
      </c>
      <c r="DH12" s="5493"/>
      <c r="DI12" s="5493"/>
      <c r="DJ12" s="5524"/>
      <c r="DK12" s="5532"/>
      <c r="DL12" s="5525"/>
      <c r="DM12" s="5525"/>
      <c r="DN12" s="5525"/>
      <c r="DO12" s="5525"/>
      <c r="DP12" s="5525"/>
      <c r="DQ12" s="5525"/>
      <c r="DR12" s="5525"/>
      <c r="DS12" s="5525"/>
      <c r="DT12" s="5525"/>
      <c r="DU12" s="5525"/>
      <c r="DV12" s="5525"/>
      <c r="DW12" s="5525"/>
      <c r="DX12" s="5525"/>
      <c r="DY12" s="5525"/>
      <c r="DZ12" s="5525"/>
      <c r="EA12" s="5525"/>
      <c r="EB12" s="5525"/>
      <c r="EC12" s="5525"/>
      <c r="ED12" s="5525"/>
      <c r="EE12" s="5525"/>
      <c r="EF12" s="5525"/>
      <c r="EG12" s="5525"/>
      <c r="EH12" s="5525"/>
      <c r="EI12" s="5525"/>
      <c r="EJ12" s="5525"/>
      <c r="EK12" s="5525"/>
      <c r="EL12" s="5525"/>
      <c r="EM12" s="5525"/>
      <c r="EN12" s="5525"/>
      <c r="EO12" s="5525"/>
      <c r="EP12" s="5525"/>
      <c r="EQ12" s="5525"/>
      <c r="ER12" s="5525"/>
      <c r="ES12" s="5525"/>
      <c r="ET12" s="5525"/>
      <c r="EU12" s="5525"/>
      <c r="EV12" s="5525"/>
      <c r="EW12" s="5525"/>
      <c r="EX12" s="5525"/>
      <c r="EY12" s="5525"/>
      <c r="EZ12" s="5525"/>
      <c r="FA12" s="5525"/>
      <c r="FB12" s="5525"/>
      <c r="FC12" s="5525"/>
      <c r="FD12" s="5525"/>
      <c r="FE12" s="5525"/>
      <c r="FF12" s="5525"/>
      <c r="FG12" s="5525"/>
      <c r="FH12" s="5525"/>
      <c r="FI12" s="5525"/>
      <c r="FJ12" s="5525"/>
      <c r="FK12" s="5525"/>
      <c r="FL12" s="5525"/>
      <c r="FM12" s="5525"/>
      <c r="FN12" s="5525"/>
      <c r="FO12" s="5525"/>
      <c r="FP12" s="5525"/>
      <c r="FQ12" s="5525"/>
      <c r="FR12" s="5525"/>
      <c r="FS12" s="5525"/>
      <c r="FT12" s="5525"/>
      <c r="FU12" s="5525"/>
      <c r="FV12" s="5525"/>
      <c r="FW12" s="5530"/>
      <c r="FX12" s="696"/>
      <c r="GC12" s="855">
        <v>12</v>
      </c>
    </row>
    <row r="13" spans="2:185" ht="37.9" customHeight="1">
      <c r="D13" s="867"/>
      <c r="E13" s="866"/>
      <c r="F13" s="5335"/>
      <c r="G13" s="5335"/>
      <c r="H13" s="5335"/>
      <c r="I13" s="5335"/>
      <c r="J13" s="5542"/>
      <c r="K13" s="5542"/>
      <c r="L13" s="5542"/>
      <c r="M13" s="5542"/>
      <c r="N13" s="5542"/>
      <c r="O13" s="5339" t="s">
        <v>1117</v>
      </c>
      <c r="P13" s="5339"/>
      <c r="Q13" s="5339"/>
      <c r="R13" s="5339"/>
      <c r="S13" s="5453" t="s">
        <v>1118</v>
      </c>
      <c r="T13" s="5494"/>
      <c r="U13" s="5235" t="s">
        <v>1119</v>
      </c>
      <c r="V13" s="5235"/>
      <c r="W13" s="5235"/>
      <c r="X13" s="5235"/>
      <c r="Y13" s="5235" t="s">
        <v>1120</v>
      </c>
      <c r="Z13" s="5235"/>
      <c r="AA13" s="5235"/>
      <c r="AB13" s="5235"/>
      <c r="AC13" s="5525"/>
      <c r="AD13" s="5525"/>
      <c r="AE13" s="5525"/>
      <c r="AF13" s="5525"/>
      <c r="AG13" s="5525"/>
      <c r="AH13" s="5525"/>
      <c r="AI13" s="5525"/>
      <c r="AJ13" s="5525"/>
      <c r="AK13" s="5525"/>
      <c r="AL13" s="5525"/>
      <c r="AM13" s="5525"/>
      <c r="AN13" s="5525"/>
      <c r="AO13" s="5525"/>
      <c r="AP13" s="5525"/>
      <c r="AQ13" s="5525"/>
      <c r="AR13" s="5525"/>
      <c r="AS13" s="5525"/>
      <c r="AT13" s="5525"/>
      <c r="AU13" s="5525"/>
      <c r="AV13" s="5525"/>
      <c r="AW13" s="5525"/>
      <c r="AX13" s="5525"/>
      <c r="AY13" s="5525"/>
      <c r="AZ13" s="5525"/>
      <c r="BA13" s="5525"/>
      <c r="BB13" s="5525"/>
      <c r="BC13" s="5525"/>
      <c r="BD13" s="5525"/>
      <c r="BE13" s="5525"/>
      <c r="BF13" s="5525"/>
      <c r="BG13" s="5525"/>
      <c r="BH13" s="5525"/>
      <c r="BI13" s="5525"/>
      <c r="BJ13" s="5525"/>
      <c r="BK13" s="5525"/>
      <c r="BL13" s="5525"/>
      <c r="BM13" s="5525"/>
      <c r="BN13" s="5525"/>
      <c r="BO13" s="5525"/>
      <c r="BP13" s="5525"/>
      <c r="BQ13" s="5525"/>
      <c r="BR13" s="5525"/>
      <c r="BS13" s="5526"/>
      <c r="BT13" s="5453" t="s">
        <v>1121</v>
      </c>
      <c r="BU13" s="5494"/>
      <c r="BV13" s="5453" t="s">
        <v>1122</v>
      </c>
      <c r="BW13" s="5494"/>
      <c r="BX13" s="5453" t="s">
        <v>1123</v>
      </c>
      <c r="BY13" s="5494"/>
      <c r="BZ13" s="5453" t="s">
        <v>1124</v>
      </c>
      <c r="CA13" s="5494"/>
      <c r="CB13" s="5453" t="s">
        <v>1125</v>
      </c>
      <c r="CC13" s="5494"/>
      <c r="CD13" s="5453" t="s">
        <v>1126</v>
      </c>
      <c r="CE13" s="5494"/>
      <c r="CF13" s="5453" t="s">
        <v>1127</v>
      </c>
      <c r="CG13" s="5494"/>
      <c r="CH13" s="5492" t="s">
        <v>1128</v>
      </c>
      <c r="CI13" s="5493"/>
      <c r="CJ13" s="5493"/>
      <c r="CK13" s="5524"/>
      <c r="CL13" s="5532"/>
      <c r="CM13" s="5525"/>
      <c r="CN13" s="5525"/>
      <c r="CO13" s="5525"/>
      <c r="CP13" s="5525"/>
      <c r="CQ13" s="5525"/>
      <c r="CR13" s="5525"/>
      <c r="CS13" s="5525"/>
      <c r="CT13" s="5525"/>
      <c r="CU13" s="5525"/>
      <c r="CV13" s="5525"/>
      <c r="CW13" s="5525"/>
      <c r="CX13" s="5526"/>
      <c r="CY13" s="5453" t="s">
        <v>1129</v>
      </c>
      <c r="CZ13" s="5494"/>
      <c r="DA13" s="5453" t="s">
        <v>1130</v>
      </c>
      <c r="DB13" s="5494"/>
      <c r="DC13" s="5453" t="s">
        <v>1131</v>
      </c>
      <c r="DD13" s="5494"/>
      <c r="DE13" s="5453" t="s">
        <v>1132</v>
      </c>
      <c r="DF13" s="5494"/>
      <c r="DG13" s="5492" t="s">
        <v>1133</v>
      </c>
      <c r="DH13" s="5493"/>
      <c r="DI13" s="5493"/>
      <c r="DJ13" s="5524"/>
      <c r="DK13" s="5532"/>
      <c r="DL13" s="5525"/>
      <c r="DM13" s="5525"/>
      <c r="DN13" s="5525"/>
      <c r="DO13" s="5525"/>
      <c r="DP13" s="5525"/>
      <c r="DQ13" s="5525"/>
      <c r="DR13" s="5525"/>
      <c r="DS13" s="5525"/>
      <c r="DT13" s="5525"/>
      <c r="DU13" s="5525"/>
      <c r="DV13" s="5525"/>
      <c r="DW13" s="5525"/>
      <c r="DX13" s="5525"/>
      <c r="DY13" s="5525"/>
      <c r="DZ13" s="5525"/>
      <c r="EA13" s="5525"/>
      <c r="EB13" s="5525"/>
      <c r="EC13" s="5525"/>
      <c r="ED13" s="5525"/>
      <c r="EE13" s="5525"/>
      <c r="EF13" s="5525"/>
      <c r="EG13" s="5525"/>
      <c r="EH13" s="5525"/>
      <c r="EI13" s="5525"/>
      <c r="EJ13" s="5525"/>
      <c r="EK13" s="5525"/>
      <c r="EL13" s="5525"/>
      <c r="EM13" s="5525"/>
      <c r="EN13" s="5525"/>
      <c r="EO13" s="5525"/>
      <c r="EP13" s="5525"/>
      <c r="EQ13" s="5525"/>
      <c r="ER13" s="5525"/>
      <c r="ES13" s="5525"/>
      <c r="ET13" s="5525"/>
      <c r="EU13" s="5525"/>
      <c r="EV13" s="5525"/>
      <c r="EW13" s="5525"/>
      <c r="EX13" s="5525"/>
      <c r="EY13" s="5525"/>
      <c r="EZ13" s="5525"/>
      <c r="FA13" s="5525"/>
      <c r="FB13" s="5525"/>
      <c r="FC13" s="5525"/>
      <c r="FD13" s="5525"/>
      <c r="FE13" s="5525"/>
      <c r="FF13" s="5525"/>
      <c r="FG13" s="5525"/>
      <c r="FH13" s="5525"/>
      <c r="FI13" s="5525"/>
      <c r="FJ13" s="5525"/>
      <c r="FK13" s="5525"/>
      <c r="FL13" s="5525"/>
      <c r="FM13" s="5525"/>
      <c r="FN13" s="5525"/>
      <c r="FO13" s="5525"/>
      <c r="FP13" s="5525"/>
      <c r="FQ13" s="5525"/>
      <c r="FR13" s="5525"/>
      <c r="FS13" s="5525"/>
      <c r="FT13" s="5525"/>
      <c r="FU13" s="5525"/>
      <c r="FV13" s="5525"/>
      <c r="FW13" s="5530"/>
      <c r="FX13" s="696"/>
      <c r="GC13" s="855">
        <v>36</v>
      </c>
    </row>
    <row r="14" spans="2:185" ht="37.9" customHeight="1">
      <c r="D14" s="867"/>
      <c r="E14" s="866"/>
      <c r="F14" s="5335"/>
      <c r="G14" s="5335"/>
      <c r="H14" s="5335"/>
      <c r="I14" s="5335"/>
      <c r="J14" s="5542"/>
      <c r="K14" s="5542"/>
      <c r="L14" s="5542"/>
      <c r="M14" s="5542"/>
      <c r="N14" s="5542"/>
      <c r="O14" s="5453" t="s">
        <v>1134</v>
      </c>
      <c r="P14" s="5494"/>
      <c r="Q14" s="5453" t="s">
        <v>1135</v>
      </c>
      <c r="R14" s="5494"/>
      <c r="S14" s="5454"/>
      <c r="T14" s="5343"/>
      <c r="U14" s="5453" t="s">
        <v>867</v>
      </c>
      <c r="V14" s="5494"/>
      <c r="W14" s="5453" t="s">
        <v>870</v>
      </c>
      <c r="X14" s="5494"/>
      <c r="Y14" s="5453" t="s">
        <v>867</v>
      </c>
      <c r="Z14" s="5494"/>
      <c r="AA14" s="5453" t="s">
        <v>877</v>
      </c>
      <c r="AB14" s="5494"/>
      <c r="AC14" s="5525"/>
      <c r="AD14" s="5525"/>
      <c r="AE14" s="5525"/>
      <c r="AF14" s="5525"/>
      <c r="AG14" s="5525"/>
      <c r="AH14" s="5525"/>
      <c r="AI14" s="5525"/>
      <c r="AJ14" s="5525"/>
      <c r="AK14" s="5525"/>
      <c r="AL14" s="5525"/>
      <c r="AM14" s="5525"/>
      <c r="AN14" s="5525"/>
      <c r="AO14" s="5525"/>
      <c r="AP14" s="5525"/>
      <c r="AQ14" s="5525"/>
      <c r="AR14" s="5525"/>
      <c r="AS14" s="5525"/>
      <c r="AT14" s="5525"/>
      <c r="AU14" s="5525"/>
      <c r="AV14" s="5525"/>
      <c r="AW14" s="5525"/>
      <c r="AX14" s="5525"/>
      <c r="AY14" s="5525"/>
      <c r="AZ14" s="5525"/>
      <c r="BA14" s="5525"/>
      <c r="BB14" s="5525"/>
      <c r="BC14" s="5525"/>
      <c r="BD14" s="5525"/>
      <c r="BE14" s="5525"/>
      <c r="BF14" s="5525"/>
      <c r="BG14" s="5525"/>
      <c r="BH14" s="5525"/>
      <c r="BI14" s="5525"/>
      <c r="BJ14" s="5525"/>
      <c r="BK14" s="5525"/>
      <c r="BL14" s="5525"/>
      <c r="BM14" s="5525"/>
      <c r="BN14" s="5525"/>
      <c r="BO14" s="5525"/>
      <c r="BP14" s="5525"/>
      <c r="BQ14" s="5525"/>
      <c r="BR14" s="5525"/>
      <c r="BS14" s="5526"/>
      <c r="BT14" s="5454"/>
      <c r="BU14" s="5343"/>
      <c r="BV14" s="5454"/>
      <c r="BW14" s="5343"/>
      <c r="BX14" s="5454"/>
      <c r="BY14" s="5343"/>
      <c r="BZ14" s="5454"/>
      <c r="CA14" s="5343"/>
      <c r="CB14" s="5454"/>
      <c r="CC14" s="5343"/>
      <c r="CD14" s="5454"/>
      <c r="CE14" s="5343"/>
      <c r="CF14" s="5454"/>
      <c r="CG14" s="5343"/>
      <c r="CH14" s="5453" t="s">
        <v>1136</v>
      </c>
      <c r="CI14" s="5494"/>
      <c r="CJ14" s="5453" t="s">
        <v>1137</v>
      </c>
      <c r="CK14" s="5494"/>
      <c r="CL14" s="5532"/>
      <c r="CM14" s="5525"/>
      <c r="CN14" s="5525"/>
      <c r="CO14" s="5525"/>
      <c r="CP14" s="5525"/>
      <c r="CQ14" s="5525"/>
      <c r="CR14" s="5525"/>
      <c r="CS14" s="5525"/>
      <c r="CT14" s="5525"/>
      <c r="CU14" s="5525"/>
      <c r="CV14" s="5525"/>
      <c r="CW14" s="5525"/>
      <c r="CX14" s="5526"/>
      <c r="CY14" s="5454"/>
      <c r="CZ14" s="5343"/>
      <c r="DA14" s="5454"/>
      <c r="DB14" s="5343"/>
      <c r="DC14" s="5454"/>
      <c r="DD14" s="5343"/>
      <c r="DE14" s="5454"/>
      <c r="DF14" s="5343"/>
      <c r="DG14" s="5453" t="s">
        <v>1138</v>
      </c>
      <c r="DH14" s="5494"/>
      <c r="DI14" s="5453" t="s">
        <v>1139</v>
      </c>
      <c r="DJ14" s="5494"/>
      <c r="DK14" s="5532"/>
      <c r="DL14" s="5525"/>
      <c r="DM14" s="5525"/>
      <c r="DN14" s="5525"/>
      <c r="DO14" s="5525"/>
      <c r="DP14" s="5525"/>
      <c r="DQ14" s="5525"/>
      <c r="DR14" s="5525"/>
      <c r="DS14" s="5525"/>
      <c r="DT14" s="5525"/>
      <c r="DU14" s="5525"/>
      <c r="DV14" s="5525"/>
      <c r="DW14" s="5525"/>
      <c r="DX14" s="5525"/>
      <c r="DY14" s="5525"/>
      <c r="DZ14" s="5525"/>
      <c r="EA14" s="5525"/>
      <c r="EB14" s="5525"/>
      <c r="EC14" s="5525"/>
      <c r="ED14" s="5525"/>
      <c r="EE14" s="5525"/>
      <c r="EF14" s="5525"/>
      <c r="EG14" s="5525"/>
      <c r="EH14" s="5525"/>
      <c r="EI14" s="5525"/>
      <c r="EJ14" s="5525"/>
      <c r="EK14" s="5525"/>
      <c r="EL14" s="5525"/>
      <c r="EM14" s="5525"/>
      <c r="EN14" s="5525"/>
      <c r="EO14" s="5525"/>
      <c r="EP14" s="5525"/>
      <c r="EQ14" s="5525"/>
      <c r="ER14" s="5525"/>
      <c r="ES14" s="5525"/>
      <c r="ET14" s="5525"/>
      <c r="EU14" s="5525"/>
      <c r="EV14" s="5525"/>
      <c r="EW14" s="5525"/>
      <c r="EX14" s="5525"/>
      <c r="EY14" s="5525"/>
      <c r="EZ14" s="5525"/>
      <c r="FA14" s="5525"/>
      <c r="FB14" s="5525"/>
      <c r="FC14" s="5525"/>
      <c r="FD14" s="5525"/>
      <c r="FE14" s="5525"/>
      <c r="FF14" s="5525"/>
      <c r="FG14" s="5525"/>
      <c r="FH14" s="5525"/>
      <c r="FI14" s="5525"/>
      <c r="FJ14" s="5525"/>
      <c r="FK14" s="5525"/>
      <c r="FL14" s="5525"/>
      <c r="FM14" s="5525"/>
      <c r="FN14" s="5525"/>
      <c r="FO14" s="5525"/>
      <c r="FP14" s="5525"/>
      <c r="FQ14" s="5525"/>
      <c r="FR14" s="5525"/>
      <c r="FS14" s="5525"/>
      <c r="FT14" s="5525"/>
      <c r="FU14" s="5525"/>
      <c r="FV14" s="5525"/>
      <c r="FW14" s="5530"/>
      <c r="FX14" s="696"/>
      <c r="GC14" s="855">
        <v>36</v>
      </c>
    </row>
    <row r="15" spans="2:185" ht="37.9" customHeight="1">
      <c r="D15" s="867"/>
      <c r="E15" s="866"/>
      <c r="F15" s="5335"/>
      <c r="G15" s="5335"/>
      <c r="H15" s="5335"/>
      <c r="I15" s="5335"/>
      <c r="J15" s="5542"/>
      <c r="K15" s="5542"/>
      <c r="L15" s="5542"/>
      <c r="M15" s="5542"/>
      <c r="N15" s="5542"/>
      <c r="O15" s="5455"/>
      <c r="P15" s="5511"/>
      <c r="Q15" s="5455"/>
      <c r="R15" s="5511"/>
      <c r="S15" s="5455"/>
      <c r="T15" s="5511"/>
      <c r="U15" s="5455"/>
      <c r="V15" s="5511"/>
      <c r="W15" s="5455"/>
      <c r="X15" s="5511"/>
      <c r="Y15" s="5455"/>
      <c r="Z15" s="5511"/>
      <c r="AA15" s="5455"/>
      <c r="AB15" s="5511"/>
      <c r="AC15" s="5525"/>
      <c r="AD15" s="5525"/>
      <c r="AE15" s="5525"/>
      <c r="AF15" s="5525"/>
      <c r="AG15" s="5525"/>
      <c r="AH15" s="5525"/>
      <c r="AI15" s="5525"/>
      <c r="AJ15" s="5525"/>
      <c r="AK15" s="5525"/>
      <c r="AL15" s="5525"/>
      <c r="AM15" s="5525"/>
      <c r="AN15" s="5525"/>
      <c r="AO15" s="5525"/>
      <c r="AP15" s="5525"/>
      <c r="AQ15" s="5525"/>
      <c r="AR15" s="5525"/>
      <c r="AS15" s="5525"/>
      <c r="AT15" s="5525"/>
      <c r="AU15" s="5525"/>
      <c r="AV15" s="5525"/>
      <c r="AW15" s="5525"/>
      <c r="AX15" s="5525"/>
      <c r="AY15" s="5525"/>
      <c r="AZ15" s="5525"/>
      <c r="BA15" s="5525"/>
      <c r="BB15" s="5525"/>
      <c r="BC15" s="5525"/>
      <c r="BD15" s="5525"/>
      <c r="BE15" s="5525"/>
      <c r="BF15" s="5525"/>
      <c r="BG15" s="5525"/>
      <c r="BH15" s="5525"/>
      <c r="BI15" s="5525"/>
      <c r="BJ15" s="5525"/>
      <c r="BK15" s="5525"/>
      <c r="BL15" s="5525"/>
      <c r="BM15" s="5525"/>
      <c r="BN15" s="5525"/>
      <c r="BO15" s="5525"/>
      <c r="BP15" s="5525"/>
      <c r="BQ15" s="5525"/>
      <c r="BR15" s="5525"/>
      <c r="BS15" s="5526"/>
      <c r="BT15" s="5455"/>
      <c r="BU15" s="5511"/>
      <c r="BV15" s="5455"/>
      <c r="BW15" s="5511"/>
      <c r="BX15" s="5455"/>
      <c r="BY15" s="5511"/>
      <c r="BZ15" s="5455"/>
      <c r="CA15" s="5511"/>
      <c r="CB15" s="5455"/>
      <c r="CC15" s="5511"/>
      <c r="CD15" s="5455"/>
      <c r="CE15" s="5511"/>
      <c r="CF15" s="5455"/>
      <c r="CG15" s="5511"/>
      <c r="CH15" s="5455"/>
      <c r="CI15" s="5511"/>
      <c r="CJ15" s="5455"/>
      <c r="CK15" s="5511"/>
      <c r="CL15" s="5532"/>
      <c r="CM15" s="5525"/>
      <c r="CN15" s="5525"/>
      <c r="CO15" s="5525"/>
      <c r="CP15" s="5525"/>
      <c r="CQ15" s="5525"/>
      <c r="CR15" s="5525"/>
      <c r="CS15" s="5525"/>
      <c r="CT15" s="5525"/>
      <c r="CU15" s="5525"/>
      <c r="CV15" s="5525"/>
      <c r="CW15" s="5525"/>
      <c r="CX15" s="5526"/>
      <c r="CY15" s="5455"/>
      <c r="CZ15" s="5511"/>
      <c r="DA15" s="5455"/>
      <c r="DB15" s="5511"/>
      <c r="DC15" s="5455"/>
      <c r="DD15" s="5511"/>
      <c r="DE15" s="5455"/>
      <c r="DF15" s="5511"/>
      <c r="DG15" s="5455"/>
      <c r="DH15" s="5511"/>
      <c r="DI15" s="5455"/>
      <c r="DJ15" s="5511"/>
      <c r="DK15" s="5532"/>
      <c r="DL15" s="5525"/>
      <c r="DM15" s="5525"/>
      <c r="DN15" s="5525"/>
      <c r="DO15" s="5525"/>
      <c r="DP15" s="5525"/>
      <c r="DQ15" s="5525"/>
      <c r="DR15" s="5525"/>
      <c r="DS15" s="5525"/>
      <c r="DT15" s="5525"/>
      <c r="DU15" s="5525"/>
      <c r="DV15" s="5525"/>
      <c r="DW15" s="5525"/>
      <c r="DX15" s="5525"/>
      <c r="DY15" s="5525"/>
      <c r="DZ15" s="5525"/>
      <c r="EA15" s="5525"/>
      <c r="EB15" s="5525"/>
      <c r="EC15" s="5525"/>
      <c r="ED15" s="5525"/>
      <c r="EE15" s="5525"/>
      <c r="EF15" s="5525"/>
      <c r="EG15" s="5525"/>
      <c r="EH15" s="5525"/>
      <c r="EI15" s="5525"/>
      <c r="EJ15" s="5525"/>
      <c r="EK15" s="5525"/>
      <c r="EL15" s="5525"/>
      <c r="EM15" s="5525"/>
      <c r="EN15" s="5525"/>
      <c r="EO15" s="5525"/>
      <c r="EP15" s="5525"/>
      <c r="EQ15" s="5525"/>
      <c r="ER15" s="5525"/>
      <c r="ES15" s="5525"/>
      <c r="ET15" s="5525"/>
      <c r="EU15" s="5525"/>
      <c r="EV15" s="5525"/>
      <c r="EW15" s="5525"/>
      <c r="EX15" s="5525"/>
      <c r="EY15" s="5525"/>
      <c r="EZ15" s="5525"/>
      <c r="FA15" s="5525"/>
      <c r="FB15" s="5525"/>
      <c r="FC15" s="5525"/>
      <c r="FD15" s="5525"/>
      <c r="FE15" s="5525"/>
      <c r="FF15" s="5525"/>
      <c r="FG15" s="5525"/>
      <c r="FH15" s="5525"/>
      <c r="FI15" s="5525"/>
      <c r="FJ15" s="5525"/>
      <c r="FK15" s="5525"/>
      <c r="FL15" s="5525"/>
      <c r="FM15" s="5525"/>
      <c r="FN15" s="5525"/>
      <c r="FO15" s="5525"/>
      <c r="FP15" s="5525"/>
      <c r="FQ15" s="5525"/>
      <c r="FR15" s="5525"/>
      <c r="FS15" s="5525"/>
      <c r="FT15" s="5525"/>
      <c r="FU15" s="5525"/>
      <c r="FV15" s="5525"/>
      <c r="FW15" s="5530"/>
      <c r="FX15" s="696"/>
      <c r="GC15" s="855">
        <v>36</v>
      </c>
    </row>
    <row r="16" spans="2:185" ht="12.75" customHeight="1">
      <c r="D16" s="867"/>
      <c r="E16" s="866"/>
      <c r="F16" s="5335"/>
      <c r="G16" s="5335"/>
      <c r="H16" s="5335"/>
      <c r="I16" s="5335"/>
      <c r="J16" s="5542"/>
      <c r="K16" s="5542"/>
      <c r="L16" s="5542"/>
      <c r="M16" s="5542"/>
      <c r="N16" s="5542"/>
      <c r="O16" s="5492" t="s">
        <v>857</v>
      </c>
      <c r="P16" s="5524"/>
      <c r="Q16" s="5492" t="s">
        <v>859</v>
      </c>
      <c r="R16" s="5524"/>
      <c r="S16" s="5492" t="s">
        <v>863</v>
      </c>
      <c r="T16" s="5524"/>
      <c r="U16" s="5492" t="s">
        <v>868</v>
      </c>
      <c r="V16" s="5524"/>
      <c r="W16" s="5492" t="s">
        <v>871</v>
      </c>
      <c r="X16" s="5524"/>
      <c r="Y16" s="5492" t="s">
        <v>875</v>
      </c>
      <c r="Z16" s="5524"/>
      <c r="AA16" s="5492" t="s">
        <v>878</v>
      </c>
      <c r="AB16" s="5524"/>
      <c r="AC16" s="5525"/>
      <c r="AD16" s="5525"/>
      <c r="AE16" s="5525"/>
      <c r="AF16" s="5525"/>
      <c r="AG16" s="5525"/>
      <c r="AH16" s="5525"/>
      <c r="AI16" s="5525"/>
      <c r="AJ16" s="5525"/>
      <c r="AK16" s="5525"/>
      <c r="AL16" s="5525"/>
      <c r="AM16" s="5525"/>
      <c r="AN16" s="5525"/>
      <c r="AO16" s="5525"/>
      <c r="AP16" s="5525"/>
      <c r="AQ16" s="5525"/>
      <c r="AR16" s="5525"/>
      <c r="AS16" s="5525"/>
      <c r="AT16" s="5525"/>
      <c r="AU16" s="5525"/>
      <c r="AV16" s="5525"/>
      <c r="AW16" s="5525"/>
      <c r="AX16" s="5525"/>
      <c r="AY16" s="5525"/>
      <c r="AZ16" s="5525"/>
      <c r="BA16" s="5525"/>
      <c r="BB16" s="5525"/>
      <c r="BC16" s="5525"/>
      <c r="BD16" s="5525"/>
      <c r="BE16" s="5525"/>
      <c r="BF16" s="5525"/>
      <c r="BG16" s="5525"/>
      <c r="BH16" s="5525"/>
      <c r="BI16" s="5525"/>
      <c r="BJ16" s="5525"/>
      <c r="BK16" s="5525"/>
      <c r="BL16" s="5525"/>
      <c r="BM16" s="5525"/>
      <c r="BN16" s="5525"/>
      <c r="BO16" s="5525"/>
      <c r="BP16" s="5525"/>
      <c r="BQ16" s="5525"/>
      <c r="BR16" s="5525"/>
      <c r="BS16" s="5526"/>
      <c r="BT16" s="5492" t="s">
        <v>590</v>
      </c>
      <c r="BU16" s="5524"/>
      <c r="BV16" s="5492" t="s">
        <v>590</v>
      </c>
      <c r="BW16" s="5524"/>
      <c r="BX16" s="5492" t="s">
        <v>590</v>
      </c>
      <c r="BY16" s="5524"/>
      <c r="BZ16" s="5492" t="s">
        <v>590</v>
      </c>
      <c r="CA16" s="5524"/>
      <c r="CB16" s="5492" t="s">
        <v>1140</v>
      </c>
      <c r="CC16" s="5524"/>
      <c r="CD16" s="5492" t="s">
        <v>590</v>
      </c>
      <c r="CE16" s="5524"/>
      <c r="CF16" s="5492" t="s">
        <v>1141</v>
      </c>
      <c r="CG16" s="5524"/>
      <c r="CH16" s="5492" t="s">
        <v>1142</v>
      </c>
      <c r="CI16" s="5524"/>
      <c r="CJ16" s="5492" t="s">
        <v>1142</v>
      </c>
      <c r="CK16" s="5524"/>
      <c r="CL16" s="5532"/>
      <c r="CM16" s="5525"/>
      <c r="CN16" s="5525"/>
      <c r="CO16" s="5525"/>
      <c r="CP16" s="5525"/>
      <c r="CQ16" s="5525"/>
      <c r="CR16" s="5525"/>
      <c r="CS16" s="5525"/>
      <c r="CT16" s="5525"/>
      <c r="CU16" s="5525"/>
      <c r="CV16" s="5525"/>
      <c r="CW16" s="5525"/>
      <c r="CX16" s="5526"/>
      <c r="CY16" s="5453" t="s">
        <v>590</v>
      </c>
      <c r="CZ16" s="5494"/>
      <c r="DA16" s="5453" t="s">
        <v>590</v>
      </c>
      <c r="DB16" s="5494"/>
      <c r="DC16" s="5453" t="s">
        <v>590</v>
      </c>
      <c r="DD16" s="5494"/>
      <c r="DE16" s="5492" t="s">
        <v>1140</v>
      </c>
      <c r="DF16" s="5524"/>
      <c r="DG16" s="5492" t="s">
        <v>1143</v>
      </c>
      <c r="DH16" s="5524"/>
      <c r="DI16" s="5492" t="s">
        <v>1143</v>
      </c>
      <c r="DJ16" s="5524"/>
      <c r="DK16" s="5532"/>
      <c r="DL16" s="5525"/>
      <c r="DM16" s="5525"/>
      <c r="DN16" s="5525"/>
      <c r="DO16" s="5525"/>
      <c r="DP16" s="5525"/>
      <c r="DQ16" s="5525"/>
      <c r="DR16" s="5525"/>
      <c r="DS16" s="5525"/>
      <c r="DT16" s="5525"/>
      <c r="DU16" s="5525"/>
      <c r="DV16" s="5525"/>
      <c r="DW16" s="5525"/>
      <c r="DX16" s="5525"/>
      <c r="DY16" s="5525"/>
      <c r="DZ16" s="5525"/>
      <c r="EA16" s="5525"/>
      <c r="EB16" s="5525"/>
      <c r="EC16" s="5525"/>
      <c r="ED16" s="5525"/>
      <c r="EE16" s="5525"/>
      <c r="EF16" s="5525"/>
      <c r="EG16" s="5525"/>
      <c r="EH16" s="5525"/>
      <c r="EI16" s="5525"/>
      <c r="EJ16" s="5525"/>
      <c r="EK16" s="5525"/>
      <c r="EL16" s="5525"/>
      <c r="EM16" s="5525"/>
      <c r="EN16" s="5525"/>
      <c r="EO16" s="5525"/>
      <c r="EP16" s="5525"/>
      <c r="EQ16" s="5525"/>
      <c r="ER16" s="5525"/>
      <c r="ES16" s="5525"/>
      <c r="ET16" s="5525"/>
      <c r="EU16" s="5525"/>
      <c r="EV16" s="5525"/>
      <c r="EW16" s="5525"/>
      <c r="EX16" s="5525"/>
      <c r="EY16" s="5525"/>
      <c r="EZ16" s="5525"/>
      <c r="FA16" s="5525"/>
      <c r="FB16" s="5525"/>
      <c r="FC16" s="5525"/>
      <c r="FD16" s="5525"/>
      <c r="FE16" s="5525"/>
      <c r="FF16" s="5525"/>
      <c r="FG16" s="5525"/>
      <c r="FH16" s="5525"/>
      <c r="FI16" s="5525"/>
      <c r="FJ16" s="5525"/>
      <c r="FK16" s="5525"/>
      <c r="FL16" s="5525"/>
      <c r="FM16" s="5525"/>
      <c r="FN16" s="5525"/>
      <c r="FO16" s="5525"/>
      <c r="FP16" s="5525"/>
      <c r="FQ16" s="5525"/>
      <c r="FR16" s="5525"/>
      <c r="FS16" s="5525"/>
      <c r="FT16" s="5525"/>
      <c r="FU16" s="5525"/>
      <c r="FV16" s="5525"/>
      <c r="FW16" s="5530"/>
      <c r="FX16" s="696"/>
      <c r="GC16" s="855">
        <v>12</v>
      </c>
    </row>
    <row r="17" spans="1:185" ht="15.75" customHeight="1">
      <c r="E17" s="866"/>
      <c r="F17" s="5335"/>
      <c r="G17" s="5335"/>
      <c r="H17" s="5335"/>
      <c r="I17" s="5335"/>
      <c r="J17" s="5542"/>
      <c r="K17" s="5542"/>
      <c r="L17" s="5542"/>
      <c r="M17" s="5542"/>
      <c r="N17" s="5542"/>
      <c r="O17" s="1117" t="s">
        <v>1144</v>
      </c>
      <c r="P17" s="1117" t="s">
        <v>1145</v>
      </c>
      <c r="Q17" s="1117" t="s">
        <v>1144</v>
      </c>
      <c r="R17" s="1117" t="s">
        <v>1145</v>
      </c>
      <c r="S17" s="1117" t="s">
        <v>1144</v>
      </c>
      <c r="T17" s="1117" t="s">
        <v>1145</v>
      </c>
      <c r="U17" s="1117" t="s">
        <v>1144</v>
      </c>
      <c r="V17" s="1117" t="s">
        <v>1145</v>
      </c>
      <c r="W17" s="1117" t="s">
        <v>1144</v>
      </c>
      <c r="X17" s="1117" t="s">
        <v>1145</v>
      </c>
      <c r="Y17" s="1117" t="s">
        <v>1144</v>
      </c>
      <c r="Z17" s="1117" t="s">
        <v>1145</v>
      </c>
      <c r="AA17" s="1117" t="s">
        <v>1144</v>
      </c>
      <c r="AB17" s="1117" t="s">
        <v>1145</v>
      </c>
      <c r="AC17" s="5525"/>
      <c r="AD17" s="5525"/>
      <c r="AE17" s="5525"/>
      <c r="AF17" s="5525"/>
      <c r="AG17" s="5525"/>
      <c r="AH17" s="5525"/>
      <c r="AI17" s="5525"/>
      <c r="AJ17" s="5525"/>
      <c r="AK17" s="5525"/>
      <c r="AL17" s="5525"/>
      <c r="AM17" s="5525"/>
      <c r="AN17" s="5525"/>
      <c r="AO17" s="5525"/>
      <c r="AP17" s="5525"/>
      <c r="AQ17" s="5525"/>
      <c r="AR17" s="5525"/>
      <c r="AS17" s="5525"/>
      <c r="AT17" s="5525"/>
      <c r="AU17" s="5525"/>
      <c r="AV17" s="5525"/>
      <c r="AW17" s="5525"/>
      <c r="AX17" s="5525"/>
      <c r="AY17" s="5525"/>
      <c r="AZ17" s="5525"/>
      <c r="BA17" s="5525"/>
      <c r="BB17" s="5525"/>
      <c r="BC17" s="5525"/>
      <c r="BD17" s="5525"/>
      <c r="BE17" s="5525"/>
      <c r="BF17" s="5525"/>
      <c r="BG17" s="5525"/>
      <c r="BH17" s="5525"/>
      <c r="BI17" s="5525"/>
      <c r="BJ17" s="5525"/>
      <c r="BK17" s="5525"/>
      <c r="BL17" s="5525"/>
      <c r="BM17" s="5525"/>
      <c r="BN17" s="5525"/>
      <c r="BO17" s="5525"/>
      <c r="BP17" s="5525"/>
      <c r="BQ17" s="5525"/>
      <c r="BR17" s="5525"/>
      <c r="BS17" s="5526"/>
      <c r="BT17" s="1117" t="s">
        <v>1144</v>
      </c>
      <c r="BU17" s="1117" t="s">
        <v>1145</v>
      </c>
      <c r="BV17" s="1117" t="s">
        <v>1144</v>
      </c>
      <c r="BW17" s="1117" t="s">
        <v>1145</v>
      </c>
      <c r="BX17" s="1117" t="s">
        <v>1144</v>
      </c>
      <c r="BY17" s="1117" t="s">
        <v>1145</v>
      </c>
      <c r="BZ17" s="1117" t="s">
        <v>1144</v>
      </c>
      <c r="CA17" s="1117" t="s">
        <v>1145</v>
      </c>
      <c r="CB17" s="1117" t="s">
        <v>1144</v>
      </c>
      <c r="CC17" s="1117" t="s">
        <v>1145</v>
      </c>
      <c r="CD17" s="1117" t="s">
        <v>1144</v>
      </c>
      <c r="CE17" s="1117" t="s">
        <v>1145</v>
      </c>
      <c r="CF17" s="1117" t="s">
        <v>1144</v>
      </c>
      <c r="CG17" s="1117" t="s">
        <v>1145</v>
      </c>
      <c r="CH17" s="1117" t="s">
        <v>1144</v>
      </c>
      <c r="CI17" s="1117" t="s">
        <v>1145</v>
      </c>
      <c r="CJ17" s="1117" t="s">
        <v>1144</v>
      </c>
      <c r="CK17" s="1117" t="s">
        <v>1145</v>
      </c>
      <c r="CL17" s="5532"/>
      <c r="CM17" s="5525"/>
      <c r="CN17" s="5525"/>
      <c r="CO17" s="5525"/>
      <c r="CP17" s="5525"/>
      <c r="CQ17" s="5525"/>
      <c r="CR17" s="5525"/>
      <c r="CS17" s="5525"/>
      <c r="CT17" s="5525"/>
      <c r="CU17" s="5525"/>
      <c r="CV17" s="5525"/>
      <c r="CW17" s="5525"/>
      <c r="CX17" s="5526"/>
      <c r="CY17" s="1117" t="s">
        <v>1144</v>
      </c>
      <c r="CZ17" s="1117" t="s">
        <v>1145</v>
      </c>
      <c r="DA17" s="1117" t="s">
        <v>1144</v>
      </c>
      <c r="DB17" s="1117" t="s">
        <v>1145</v>
      </c>
      <c r="DC17" s="1117" t="s">
        <v>1144</v>
      </c>
      <c r="DD17" s="1117" t="s">
        <v>1145</v>
      </c>
      <c r="DE17" s="1117" t="s">
        <v>1144</v>
      </c>
      <c r="DF17" s="1117" t="s">
        <v>1145</v>
      </c>
      <c r="DG17" s="1117" t="s">
        <v>1144</v>
      </c>
      <c r="DH17" s="1117" t="s">
        <v>1145</v>
      </c>
      <c r="DI17" s="1117" t="s">
        <v>1144</v>
      </c>
      <c r="DJ17" s="1117" t="s">
        <v>1145</v>
      </c>
      <c r="DK17" s="5532"/>
      <c r="DL17" s="5525"/>
      <c r="DM17" s="5525"/>
      <c r="DN17" s="5525"/>
      <c r="DO17" s="5525"/>
      <c r="DP17" s="5525"/>
      <c r="DQ17" s="5525"/>
      <c r="DR17" s="5525"/>
      <c r="DS17" s="5525"/>
      <c r="DT17" s="5525"/>
      <c r="DU17" s="5525"/>
      <c r="DV17" s="5525"/>
      <c r="DW17" s="5525"/>
      <c r="DX17" s="5525"/>
      <c r="DY17" s="5525"/>
      <c r="DZ17" s="5525"/>
      <c r="EA17" s="5525"/>
      <c r="EB17" s="5525"/>
      <c r="EC17" s="5525"/>
      <c r="ED17" s="5525"/>
      <c r="EE17" s="5525"/>
      <c r="EF17" s="5525"/>
      <c r="EG17" s="5525"/>
      <c r="EH17" s="5525"/>
      <c r="EI17" s="5525"/>
      <c r="EJ17" s="5525"/>
      <c r="EK17" s="5525"/>
      <c r="EL17" s="5525"/>
      <c r="EM17" s="5525"/>
      <c r="EN17" s="5525"/>
      <c r="EO17" s="5525"/>
      <c r="EP17" s="5525"/>
      <c r="EQ17" s="5525"/>
      <c r="ER17" s="5525"/>
      <c r="ES17" s="5525"/>
      <c r="ET17" s="5525"/>
      <c r="EU17" s="5525"/>
      <c r="EV17" s="5525"/>
      <c r="EW17" s="5525"/>
      <c r="EX17" s="5525"/>
      <c r="EY17" s="5525"/>
      <c r="EZ17" s="5525"/>
      <c r="FA17" s="5525"/>
      <c r="FB17" s="5525"/>
      <c r="FC17" s="5525"/>
      <c r="FD17" s="5525"/>
      <c r="FE17" s="5525"/>
      <c r="FF17" s="5525"/>
      <c r="FG17" s="5525"/>
      <c r="FH17" s="5525"/>
      <c r="FI17" s="5525"/>
      <c r="FJ17" s="5525"/>
      <c r="FK17" s="5525"/>
      <c r="FL17" s="5525"/>
      <c r="FM17" s="5525"/>
      <c r="FN17" s="5525"/>
      <c r="FO17" s="5525"/>
      <c r="FP17" s="5525"/>
      <c r="FQ17" s="5525"/>
      <c r="FR17" s="5525"/>
      <c r="FS17" s="5525"/>
      <c r="FT17" s="5525"/>
      <c r="FU17" s="5525"/>
      <c r="FV17" s="5525"/>
      <c r="FW17" s="5531"/>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403</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84</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49" t="s">
        <v>166</v>
      </c>
      <c r="D2" s="475"/>
      <c r="E2" s="599"/>
      <c r="F2" s="1686"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4"/>
      <c r="D4" s="445"/>
      <c r="E4" s="445"/>
      <c r="F4" s="445"/>
      <c r="G4" s="445"/>
      <c r="H4" s="445"/>
      <c r="S4" s="441">
        <v>15</v>
      </c>
    </row>
    <row r="5" spans="1:19" ht="39.75" customHeight="1">
      <c r="C5" s="114"/>
      <c r="D5" s="535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5359"/>
      <c r="F5" s="5359"/>
      <c r="G5" s="5359"/>
      <c r="H5" s="5359"/>
      <c r="I5" s="473"/>
      <c r="S5" s="441">
        <v>38</v>
      </c>
    </row>
    <row r="6" spans="1:19" ht="15.75" customHeight="1">
      <c r="C6" s="114"/>
      <c r="D6" s="5331" t="str">
        <f>IF(org=0,"Не определено",org)</f>
        <v>ПАО "ТГК-1" филиал "Невский"</v>
      </c>
      <c r="E6" s="5331"/>
      <c r="F6" s="5331"/>
      <c r="G6" s="5331"/>
      <c r="H6" s="5331"/>
      <c r="I6" s="473"/>
      <c r="S6" s="441">
        <v>15</v>
      </c>
    </row>
    <row r="7" spans="1:19" s="1561" customFormat="1" ht="15.75" customHeight="1">
      <c r="A7" s="693"/>
      <c r="C7" s="114"/>
      <c r="D7" s="612"/>
      <c r="E7" s="612"/>
      <c r="F7" s="612"/>
      <c r="G7" s="612"/>
      <c r="H7" s="688"/>
      <c r="I7" s="473"/>
      <c r="R7" s="611"/>
      <c r="S7" s="692">
        <v>15</v>
      </c>
    </row>
    <row r="8" spans="1:19" ht="1.1499999999999999" customHeight="1">
      <c r="C8" s="114"/>
      <c r="D8" s="445"/>
      <c r="E8" s="445"/>
      <c r="F8" s="445"/>
      <c r="G8" s="445"/>
      <c r="H8" s="473" t="s">
        <v>119</v>
      </c>
      <c r="S8" s="441">
        <v>1</v>
      </c>
    </row>
    <row r="9" spans="1:19" ht="15.75" customHeight="1">
      <c r="C9" s="114"/>
      <c r="D9" s="647"/>
      <c r="E9" s="5478" t="s">
        <v>107</v>
      </c>
      <c r="F9" s="5479"/>
      <c r="G9" s="746" t="str">
        <f>IF(G8="","",INDEX(DIFFERENTIATION_UNMERGE_VD,MATCH(G8,DIFFERENTIATION_ID_DIFF,0)))</f>
        <v/>
      </c>
      <c r="H9" s="746">
        <f>IF(H8="","",INDEX(DIFFERENTIATION_UNMERGE_VD,MATCH(H8,DIFFERENTIATION_ID_DIFF,0)))</f>
        <v>0</v>
      </c>
      <c r="I9" s="5235" t="s">
        <v>328</v>
      </c>
      <c r="S9" s="441">
        <v>15</v>
      </c>
    </row>
    <row r="10" spans="1:19" s="1561" customFormat="1" ht="15.75" customHeight="1">
      <c r="A10" s="693"/>
      <c r="C10" s="114"/>
      <c r="D10" s="647"/>
      <c r="E10" s="5478" t="s">
        <v>596</v>
      </c>
      <c r="F10" s="5479"/>
      <c r="G10" s="746" t="str">
        <f>IF(G8="","",INDEX(DIFFERENTIATION_UNMERGE_AREA,MATCH(G8,DIFFERENTIATION_ID_DIFF,0)))</f>
        <v/>
      </c>
      <c r="H10" s="746" t="str">
        <f>IF(H8="","",INDEX(DIFFERENTIATION_UNMERGE_AREA,MATCH(H8,DIFFERENTIATION_ID_DIFF,0)))</f>
        <v/>
      </c>
      <c r="I10" s="5235"/>
      <c r="R10" s="611"/>
      <c r="S10" s="692">
        <v>15</v>
      </c>
    </row>
    <row r="11" spans="1:19" s="1561" customFormat="1" ht="15.75" customHeight="1">
      <c r="A11" s="693"/>
      <c r="C11" s="114"/>
      <c r="D11" s="647"/>
      <c r="E11" s="5478" t="s">
        <v>597</v>
      </c>
      <c r="F11" s="5479"/>
      <c r="G11" s="746" t="str">
        <f>IF(G8="","",INDEX(DIFFERENTIATION_UNMERGE_SYSTEM,MATCH(G8,DIFFERENTIATION_ID_DIFF,0)))</f>
        <v/>
      </c>
      <c r="H11" s="746" t="str">
        <f>IF(H8="","",INDEX(DIFFERENTIATION_UNMERGE_SYSTEM,MATCH(H8,DIFFERENTIATION_ID_DIFF,0)))</f>
        <v>без дифференциации</v>
      </c>
      <c r="I11" s="5235"/>
      <c r="R11" s="611"/>
      <c r="S11" s="692">
        <v>15</v>
      </c>
    </row>
    <row r="12" spans="1:19" s="1561" customFormat="1" ht="15.75" customHeight="1">
      <c r="A12" s="693"/>
      <c r="C12" s="114"/>
      <c r="D12" s="5480" t="s">
        <v>327</v>
      </c>
      <c r="E12" s="5481"/>
      <c r="F12" s="5481"/>
      <c r="G12" s="816"/>
      <c r="H12" s="816"/>
      <c r="I12" s="5235"/>
      <c r="R12" s="611"/>
      <c r="S12" s="692">
        <v>15</v>
      </c>
    </row>
    <row r="13" spans="1:19" ht="35.65" customHeight="1">
      <c r="C13" s="114"/>
      <c r="D13" s="695" t="s">
        <v>90</v>
      </c>
      <c r="E13" s="694" t="s">
        <v>329</v>
      </c>
      <c r="F13" s="694" t="s">
        <v>598</v>
      </c>
      <c r="G13" s="738" t="s">
        <v>330</v>
      </c>
      <c r="H13" s="690" t="s">
        <v>330</v>
      </c>
      <c r="I13" s="5235"/>
      <c r="S13" s="441">
        <v>34</v>
      </c>
    </row>
    <row r="14" spans="1:19" ht="15" hidden="1" customHeight="1">
      <c r="C14" s="114"/>
      <c r="D14" s="529" t="s">
        <v>111</v>
      </c>
      <c r="E14" s="529" t="s">
        <v>112</v>
      </c>
      <c r="F14" s="529" t="s">
        <v>92</v>
      </c>
      <c r="G14" s="595" t="str">
        <f>G1&amp;".1"</f>
        <v>.1</v>
      </c>
      <c r="H14" s="595" t="str">
        <f>H1&amp;".1"</f>
        <v>4.1</v>
      </c>
      <c r="I14" s="226"/>
      <c r="S14" s="441">
        <v>0</v>
      </c>
    </row>
    <row r="15" spans="1:19" ht="15.75" customHeight="1">
      <c r="A15" s="441"/>
      <c r="C15" s="462"/>
      <c r="D15" s="457">
        <v>1</v>
      </c>
      <c r="E15" s="1851" t="str">
        <f>TP_P_A</f>
        <v>Количество поданных заявок</v>
      </c>
      <c r="F15" s="457" t="s">
        <v>1146</v>
      </c>
      <c r="G15" s="621"/>
      <c r="H15" s="621"/>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1" t="str">
        <f>TP_P_B</f>
        <v>Количество рассмотренных заявок</v>
      </c>
      <c r="F16" s="457" t="s">
        <v>1146</v>
      </c>
      <c r="G16" s="621"/>
      <c r="H16" s="621"/>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1146</v>
      </c>
      <c r="G17" s="621"/>
      <c r="H17" s="621"/>
      <c r="I17" s="146"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333</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1147</v>
      </c>
      <c r="E20" s="624"/>
      <c r="F20" s="445"/>
      <c r="G20" s="445"/>
      <c r="H20" s="445"/>
      <c r="I20" s="1688"/>
      <c r="S20" s="441">
        <v>0</v>
      </c>
    </row>
    <row r="21" spans="1:19" ht="29.25" customHeight="1">
      <c r="C21" s="387"/>
      <c r="D21" s="475" t="s">
        <v>340</v>
      </c>
      <c r="E21" s="606"/>
      <c r="F21" s="1686" t="str">
        <f>IF(TEMPLATE_SPHERE="HEAT","Гкал/час","тыс. куб. м/сутки")</f>
        <v>Гкал/час</v>
      </c>
      <c r="G21" s="616"/>
      <c r="H21" s="616"/>
      <c r="I21" s="528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1148</v>
      </c>
      <c r="F22" s="508"/>
      <c r="G22" s="508"/>
      <c r="H22" s="508"/>
      <c r="I22" s="5283"/>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5"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529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5291"/>
      <c r="F5" s="5291"/>
      <c r="G5" s="5292"/>
      <c r="Q5" s="23">
        <v>28</v>
      </c>
    </row>
    <row r="6" spans="1:17" s="1561" customFormat="1" ht="18.75" customHeight="1">
      <c r="A6" s="811"/>
      <c r="B6" s="353"/>
      <c r="C6" s="312"/>
      <c r="D6" s="5353" t="str">
        <f>IF(org=0,"Не определено",org)</f>
        <v>ПАО "ТГК-1" филиал "Невский"</v>
      </c>
      <c r="E6" s="5354"/>
      <c r="F6" s="5354"/>
      <c r="G6" s="5355"/>
      <c r="I6" s="436"/>
      <c r="J6" s="436"/>
      <c r="Q6" s="692">
        <v>18</v>
      </c>
    </row>
    <row r="7" spans="1:17" ht="14.65" customHeight="1">
      <c r="C7" s="36"/>
      <c r="D7" s="24"/>
      <c r="E7" s="35"/>
      <c r="F7" s="688"/>
      <c r="G7" s="131"/>
      <c r="Q7" s="23">
        <v>14</v>
      </c>
    </row>
    <row r="8" spans="1:17" s="1561" customFormat="1" ht="1.1499999999999999" customHeight="1">
      <c r="A8" s="1595"/>
      <c r="B8" s="1086"/>
      <c r="C8" s="312"/>
      <c r="D8" s="299"/>
      <c r="E8" s="325"/>
      <c r="F8" s="688"/>
      <c r="G8" s="131"/>
      <c r="I8" s="1550"/>
      <c r="J8" s="1550"/>
      <c r="Q8" s="1557">
        <v>1</v>
      </c>
    </row>
    <row r="9" spans="1:17" ht="14.65" customHeight="1">
      <c r="C9" s="36"/>
      <c r="D9" s="5339" t="s">
        <v>327</v>
      </c>
      <c r="E9" s="5339"/>
      <c r="F9" s="5339"/>
      <c r="G9" s="5495" t="s">
        <v>328</v>
      </c>
      <c r="Q9" s="23">
        <v>14</v>
      </c>
    </row>
    <row r="10" spans="1:17" ht="24" customHeight="1">
      <c r="C10" s="36"/>
      <c r="D10" s="45" t="s">
        <v>90</v>
      </c>
      <c r="E10" s="48" t="s">
        <v>329</v>
      </c>
      <c r="F10" s="48" t="s">
        <v>417</v>
      </c>
      <c r="G10" s="5495"/>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333</v>
      </c>
      <c r="G12" s="89"/>
      <c r="Q12" s="23">
        <v>62</v>
      </c>
    </row>
    <row r="13" spans="1:17" ht="24" customHeight="1">
      <c r="A13" s="130"/>
      <c r="C13" s="36"/>
      <c r="D13" s="85" t="s">
        <v>1053</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333</v>
      </c>
      <c r="G13" s="89"/>
      <c r="Q13" s="23">
        <v>23</v>
      </c>
    </row>
    <row r="14" spans="1:17" ht="14.65" customHeight="1">
      <c r="A14" s="130"/>
      <c r="C14" s="36"/>
      <c r="D14" s="85" t="s">
        <v>1089</v>
      </c>
      <c r="E14" s="133"/>
      <c r="F14" s="151"/>
      <c r="G14" s="528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5" t="s">
        <v>1149</v>
      </c>
      <c r="F15" s="139"/>
      <c r="G15" s="5283"/>
      <c r="Q15" s="23">
        <v>15</v>
      </c>
    </row>
    <row r="16" spans="1:17" ht="14.65" customHeight="1">
      <c r="A16" s="130"/>
      <c r="C16" s="36"/>
      <c r="D16" s="85" t="s">
        <v>1055</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333</v>
      </c>
      <c r="G16" s="274"/>
      <c r="Q16" s="23">
        <v>14</v>
      </c>
    </row>
    <row r="17" spans="1:17" ht="14.65" customHeight="1">
      <c r="A17" s="130"/>
      <c r="C17" s="36"/>
      <c r="D17" s="85" t="s">
        <v>1097</v>
      </c>
      <c r="E17" s="133"/>
      <c r="F17" s="321"/>
      <c r="G17" s="528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1" customFormat="1" ht="21.95" customHeight="1">
      <c r="A18" s="280"/>
      <c r="B18" s="84"/>
      <c r="C18" s="244"/>
      <c r="D18" s="284"/>
      <c r="E18" s="285" t="s">
        <v>1150</v>
      </c>
      <c r="F18" s="275"/>
      <c r="G18" s="5283"/>
      <c r="I18" s="286"/>
      <c r="J18" s="286"/>
      <c r="Q18" s="279">
        <v>21</v>
      </c>
    </row>
    <row r="19" spans="1:17" s="1561" customFormat="1" ht="256.5" hidden="1" customHeight="1">
      <c r="A19" s="280"/>
      <c r="B19" s="353"/>
      <c r="C19" s="312"/>
      <c r="D19" s="813" t="s">
        <v>1057</v>
      </c>
      <c r="E19" s="812" t="s">
        <v>1151</v>
      </c>
      <c r="F19" s="321"/>
      <c r="G19" s="274" t="s">
        <v>1152</v>
      </c>
      <c r="I19" s="436"/>
      <c r="J19" s="436"/>
      <c r="Q19" s="692">
        <v>0</v>
      </c>
    </row>
    <row r="20" spans="1:17" s="1561" customFormat="1" ht="14.65" customHeight="1">
      <c r="A20" s="280"/>
      <c r="B20" s="84"/>
      <c r="C20" s="244"/>
      <c r="D20" s="814">
        <v>2</v>
      </c>
      <c r="E20" s="267" t="s">
        <v>1153</v>
      </c>
      <c r="F20" s="136" t="s">
        <v>333</v>
      </c>
      <c r="G20" s="274"/>
      <c r="I20" s="286"/>
      <c r="J20" s="286"/>
      <c r="Q20" s="279">
        <v>14</v>
      </c>
    </row>
    <row r="21" spans="1:17" s="1561" customFormat="1" ht="18.75" hidden="1" customHeight="1">
      <c r="A21" s="280"/>
      <c r="B21" s="84"/>
      <c r="C21" s="244"/>
      <c r="D21" s="270" t="s">
        <v>668</v>
      </c>
      <c r="E21" s="269"/>
      <c r="F21" s="268"/>
      <c r="G21" s="278"/>
      <c r="H21" s="271"/>
      <c r="I21" s="286"/>
      <c r="J21" s="286"/>
      <c r="Q21" s="279">
        <v>0</v>
      </c>
    </row>
    <row r="22" spans="1:17" ht="15.75" customHeight="1">
      <c r="A22" s="130"/>
      <c r="C22" s="36"/>
      <c r="D22" s="49"/>
      <c r="E22" s="141" t="s">
        <v>349</v>
      </c>
      <c r="F22" s="275"/>
      <c r="G22" s="276"/>
      <c r="Q22" s="23">
        <v>15</v>
      </c>
    </row>
    <row r="23" spans="1:17" s="1561" customFormat="1" ht="22.5" hidden="1" customHeight="1">
      <c r="A23" s="280"/>
      <c r="B23" s="1086"/>
      <c r="C23" s="312"/>
      <c r="D23" s="1599" t="s">
        <v>112</v>
      </c>
      <c r="E23" s="135" t="s">
        <v>1154</v>
      </c>
      <c r="F23" s="1596" t="s">
        <v>333</v>
      </c>
      <c r="G23" s="282"/>
      <c r="I23" s="1550"/>
      <c r="J23" s="1550"/>
      <c r="Q23" s="1557">
        <v>0</v>
      </c>
    </row>
    <row r="24" spans="1:17" s="1561" customFormat="1" ht="14.25" hidden="1" customHeight="1">
      <c r="A24" s="280"/>
      <c r="B24" s="1086"/>
      <c r="C24" s="312"/>
      <c r="D24" s="1599" t="s">
        <v>740</v>
      </c>
      <c r="E24" s="1598" t="s">
        <v>1155</v>
      </c>
      <c r="F24" s="1596" t="s">
        <v>333</v>
      </c>
      <c r="G24" s="274"/>
      <c r="I24" s="1550"/>
      <c r="J24" s="1550"/>
      <c r="Q24" s="1557">
        <v>0</v>
      </c>
    </row>
    <row r="25" spans="1:17" s="1561" customFormat="1" ht="14.25" hidden="1" customHeight="1">
      <c r="A25" s="280"/>
      <c r="B25" s="1086"/>
      <c r="C25" s="312"/>
      <c r="D25" s="1599" t="s">
        <v>743</v>
      </c>
      <c r="E25" s="133"/>
      <c r="F25" s="321"/>
      <c r="G25" s="5281" t="s">
        <v>1156</v>
      </c>
      <c r="I25" s="1550"/>
      <c r="J25" s="1550"/>
      <c r="Q25" s="1557">
        <v>0</v>
      </c>
    </row>
    <row r="26" spans="1:17" s="1561" customFormat="1" ht="22.5" hidden="1" customHeight="1">
      <c r="A26" s="280"/>
      <c r="B26" s="1086"/>
      <c r="C26" s="312"/>
      <c r="D26" s="284"/>
      <c r="E26" s="285" t="s">
        <v>1157</v>
      </c>
      <c r="F26" s="275"/>
      <c r="G26" s="5283"/>
      <c r="I26" s="1550"/>
      <c r="J26" s="1550"/>
      <c r="Q26" s="1557">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4"/>
  <sheetViews>
    <sheetView showGridLines="0" zoomScale="90" workbookViewId="0">
      <pane xSplit="6" ySplit="21" topLeftCell="G34" activePane="bottomRight" state="frozen"/>
      <selection pane="topRight" activeCell="G1" sqref="G1"/>
      <selection pane="bottomLeft" activeCell="A22" sqref="A22"/>
      <selection pane="bottomRight" activeCell="G40" sqref="G40"/>
    </sheetView>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3" t="s">
        <v>14</v>
      </c>
    </row>
    <row r="2" spans="1:13" s="1561" customFormat="1" ht="18.75" hidden="1" customHeight="1">
      <c r="A2" s="1609"/>
      <c r="B2" s="1086"/>
      <c r="C2" s="1655" t="s">
        <v>166</v>
      </c>
      <c r="D2" s="1599"/>
      <c r="E2" s="137"/>
      <c r="F2" s="1596"/>
      <c r="G2" s="1596" t="s">
        <v>333</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166</v>
      </c>
      <c r="D4" s="1599"/>
      <c r="E4" s="143" t="s">
        <v>1158</v>
      </c>
      <c r="F4" s="1596"/>
      <c r="G4" s="194"/>
      <c r="H4" s="1596" t="s">
        <v>333</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166</v>
      </c>
      <c r="D6" s="1599"/>
      <c r="E6" s="144" t="s">
        <v>1159</v>
      </c>
      <c r="F6" s="1596"/>
      <c r="G6" s="194"/>
      <c r="H6" s="1596" t="s">
        <v>333</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166</v>
      </c>
      <c r="D8" s="1599"/>
      <c r="E8" s="144" t="s">
        <v>1160</v>
      </c>
      <c r="F8" s="1596"/>
      <c r="G8" s="194"/>
      <c r="H8" s="1596" t="s">
        <v>333</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166</v>
      </c>
      <c r="D10" s="1599"/>
      <c r="E10" s="144" t="s">
        <v>1161</v>
      </c>
      <c r="F10" s="1596"/>
      <c r="G10" s="1600"/>
      <c r="H10" s="1596" t="s">
        <v>333</v>
      </c>
      <c r="K10" s="1550"/>
      <c r="L10" s="1550" t="s">
        <v>1162</v>
      </c>
      <c r="M10" s="1557">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529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5291"/>
      <c r="F14" s="5291"/>
      <c r="G14" s="5291"/>
      <c r="H14" s="5292"/>
      <c r="J14" s="1557"/>
      <c r="M14" s="23">
        <v>28</v>
      </c>
    </row>
    <row r="15" spans="1:13" s="1561" customFormat="1" ht="14.65" customHeight="1">
      <c r="A15" s="1288"/>
      <c r="B15" s="1086"/>
      <c r="C15" s="312"/>
      <c r="D15" s="5353" t="str">
        <f>IF(org=0,"Не определено",org)</f>
        <v>ПАО "ТГК-1" филиал "Невский"</v>
      </c>
      <c r="E15" s="5354"/>
      <c r="F15" s="5354"/>
      <c r="G15" s="5354"/>
      <c r="H15" s="5355"/>
      <c r="J15" s="782"/>
      <c r="K15" s="1550"/>
      <c r="L15" s="1550"/>
      <c r="M15" s="1557">
        <v>14</v>
      </c>
    </row>
    <row r="16" spans="1:13" ht="14.65" customHeight="1">
      <c r="C16" s="36"/>
      <c r="D16" s="24"/>
      <c r="E16" s="35"/>
      <c r="F16" s="35"/>
      <c r="G16" s="35"/>
      <c r="H16" s="688"/>
      <c r="I16" s="131"/>
      <c r="M16" s="23">
        <v>14</v>
      </c>
    </row>
    <row r="17" spans="1:13" s="1561" customFormat="1" ht="14.25" hidden="1" customHeight="1">
      <c r="A17" s="1288"/>
      <c r="B17" s="1086"/>
      <c r="C17" s="312"/>
      <c r="D17" s="299"/>
      <c r="E17" s="325"/>
      <c r="F17" s="325"/>
      <c r="G17" s="325"/>
      <c r="H17" s="688"/>
      <c r="I17" s="131"/>
      <c r="K17" s="1550"/>
      <c r="L17" s="1550"/>
      <c r="M17" s="1557">
        <v>0</v>
      </c>
    </row>
    <row r="18" spans="1:13" ht="21.95" customHeight="1">
      <c r="C18" s="36"/>
      <c r="D18" s="5339" t="s">
        <v>327</v>
      </c>
      <c r="E18" s="5339"/>
      <c r="F18" s="5339"/>
      <c r="G18" s="5339"/>
      <c r="H18" s="5339"/>
      <c r="I18" s="5495" t="s">
        <v>328</v>
      </c>
      <c r="M18" s="23">
        <v>21</v>
      </c>
    </row>
    <row r="19" spans="1:13" ht="21.95" customHeight="1">
      <c r="C19" s="36"/>
      <c r="D19" s="45" t="s">
        <v>90</v>
      </c>
      <c r="E19" s="48" t="s">
        <v>329</v>
      </c>
      <c r="F19" s="48"/>
      <c r="G19" s="48" t="s">
        <v>330</v>
      </c>
      <c r="H19" s="48" t="s">
        <v>417</v>
      </c>
      <c r="I19" s="5495"/>
      <c r="M19" s="23">
        <v>21</v>
      </c>
    </row>
    <row r="20" spans="1:13" ht="12" hidden="1" customHeight="1">
      <c r="C20" s="36"/>
      <c r="D20" s="27"/>
      <c r="E20" s="27"/>
      <c r="F20" s="27"/>
      <c r="G20" s="27"/>
      <c r="H20" s="27"/>
      <c r="I20" s="27"/>
      <c r="M20" s="23">
        <v>0</v>
      </c>
    </row>
    <row r="21" spans="1:13" ht="14.65" customHeight="1">
      <c r="A21" s="1609"/>
      <c r="C21" s="36"/>
      <c r="D21" s="85">
        <v>1</v>
      </c>
      <c r="E21" s="5546" t="s">
        <v>1163</v>
      </c>
      <c r="F21" s="5546"/>
      <c r="G21" s="5546"/>
      <c r="H21" s="5546"/>
      <c r="I21" s="146"/>
      <c r="M21" s="23">
        <v>14</v>
      </c>
    </row>
    <row r="22" spans="1:13" ht="21" customHeight="1">
      <c r="A22" s="1609"/>
      <c r="C22" s="36"/>
      <c r="D22" s="85" t="s">
        <v>1053</v>
      </c>
      <c r="E22" s="132" t="s">
        <v>1164</v>
      </c>
      <c r="F22" s="136"/>
      <c r="G22" s="1662">
        <v>45288.428113425929</v>
      </c>
      <c r="H22" s="136" t="s">
        <v>333</v>
      </c>
      <c r="I22" s="89" t="s">
        <v>1165</v>
      </c>
      <c r="M22" s="23">
        <v>20</v>
      </c>
    </row>
    <row r="23" spans="1:13" ht="60" customHeight="1">
      <c r="A23" s="1609"/>
      <c r="C23" s="36"/>
      <c r="D23" s="85" t="s">
        <v>1055</v>
      </c>
      <c r="E23" s="132" t="s">
        <v>1166</v>
      </c>
      <c r="F23" s="136"/>
      <c r="G23" s="2388" t="s">
        <v>1167</v>
      </c>
      <c r="H23" s="2389" t="s">
        <v>1168</v>
      </c>
      <c r="I23" s="195" t="s">
        <v>1169</v>
      </c>
      <c r="M23" s="23">
        <v>57</v>
      </c>
    </row>
    <row r="24" spans="1:13" ht="51" customHeight="1">
      <c r="A24" s="1609"/>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333</v>
      </c>
      <c r="H24" s="2389" t="s">
        <v>1170</v>
      </c>
      <c r="I24" s="196" t="s">
        <v>663</v>
      </c>
      <c r="M24" s="23">
        <v>14</v>
      </c>
    </row>
    <row r="25" spans="1:13" ht="48.2" customHeight="1">
      <c r="A25" s="1609"/>
      <c r="C25" s="36"/>
      <c r="D25" s="85">
        <v>3</v>
      </c>
      <c r="E25" s="554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5546"/>
      <c r="G25" s="5546"/>
      <c r="H25" s="5546"/>
      <c r="I25" s="193"/>
      <c r="M25" s="23">
        <v>46</v>
      </c>
    </row>
    <row r="26" spans="1:13" ht="105" customHeight="1">
      <c r="A26" s="1609"/>
      <c r="C26" s="36"/>
      <c r="D26" s="85" t="s">
        <v>351</v>
      </c>
      <c r="E26" s="137" t="s">
        <v>1171</v>
      </c>
      <c r="F26" s="136"/>
      <c r="G26" s="136" t="s">
        <v>333</v>
      </c>
      <c r="H26" s="2389" t="s">
        <v>1172</v>
      </c>
      <c r="I26" s="5281" t="s">
        <v>1173</v>
      </c>
      <c r="M26" s="23">
        <v>14</v>
      </c>
    </row>
    <row r="27" spans="1:13" ht="15.75" customHeight="1">
      <c r="A27" s="1609" t="s">
        <v>111</v>
      </c>
      <c r="C27" s="36"/>
      <c r="D27" s="49"/>
      <c r="E27" s="141" t="s">
        <v>349</v>
      </c>
      <c r="F27" s="142"/>
      <c r="G27" s="142"/>
      <c r="H27" s="139"/>
      <c r="I27" s="5283"/>
      <c r="M27" s="23">
        <v>15</v>
      </c>
    </row>
    <row r="28" spans="1:13" ht="39.75" customHeight="1">
      <c r="A28" s="1609"/>
      <c r="B28" s="84">
        <v>3</v>
      </c>
      <c r="C28" s="36"/>
      <c r="D28" s="85">
        <v>4</v>
      </c>
      <c r="E28" s="554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5546"/>
      <c r="G28" s="5546"/>
      <c r="H28" s="5546"/>
      <c r="I28" s="193"/>
      <c r="M28" s="23">
        <v>38</v>
      </c>
    </row>
    <row r="29" spans="1:13" ht="172.5" customHeight="1">
      <c r="A29" s="1609"/>
      <c r="C29" s="36"/>
      <c r="D29" s="85" t="s">
        <v>785</v>
      </c>
      <c r="E29" s="143" t="s">
        <v>1158</v>
      </c>
      <c r="F29" s="136"/>
      <c r="G29" s="194" t="s">
        <v>1174</v>
      </c>
      <c r="H29" s="136" t="s">
        <v>333</v>
      </c>
      <c r="I29" s="5281" t="s">
        <v>1175</v>
      </c>
      <c r="M29" s="23">
        <v>20</v>
      </c>
    </row>
    <row r="30" spans="1:13" ht="15.75" customHeight="1">
      <c r="A30" s="1609" t="s">
        <v>112</v>
      </c>
      <c r="C30" s="36"/>
      <c r="D30" s="49"/>
      <c r="E30" s="141" t="s">
        <v>349</v>
      </c>
      <c r="F30" s="142"/>
      <c r="G30" s="142"/>
      <c r="H30" s="139"/>
      <c r="I30" s="5283"/>
      <c r="M30" s="23">
        <v>15</v>
      </c>
    </row>
    <row r="31" spans="1:13" ht="31.5" customHeight="1">
      <c r="A31" s="1609"/>
      <c r="B31" s="84">
        <v>3</v>
      </c>
      <c r="C31" s="36"/>
      <c r="D31" s="85">
        <v>5</v>
      </c>
      <c r="E31" s="554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5546"/>
      <c r="G31" s="5546"/>
      <c r="H31" s="5546"/>
      <c r="I31" s="193"/>
      <c r="M31" s="23">
        <v>30</v>
      </c>
    </row>
    <row r="32" spans="1:13" ht="27.4" customHeight="1">
      <c r="A32" s="1609"/>
      <c r="C32" s="36"/>
      <c r="D32" s="85" t="s">
        <v>340</v>
      </c>
      <c r="E32" s="55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5509"/>
      <c r="G32" s="5509"/>
      <c r="H32" s="5509"/>
      <c r="I32" s="193"/>
      <c r="M32" s="23">
        <v>26</v>
      </c>
    </row>
    <row r="33" spans="1:13" ht="15" customHeight="1">
      <c r="A33" s="1609"/>
      <c r="C33" s="36"/>
      <c r="D33" s="85" t="s">
        <v>1176</v>
      </c>
      <c r="E33" s="144" t="s">
        <v>1159</v>
      </c>
      <c r="F33" s="136"/>
      <c r="G33" s="194" t="s">
        <v>1177</v>
      </c>
      <c r="H33" s="136" t="s">
        <v>333</v>
      </c>
      <c r="I33" s="5281" t="s">
        <v>1178</v>
      </c>
      <c r="M33" s="23">
        <v>14</v>
      </c>
    </row>
    <row r="34" spans="1:13" ht="15.75" customHeight="1">
      <c r="A34" s="1609" t="s">
        <v>92</v>
      </c>
      <c r="C34" s="36"/>
      <c r="D34" s="49"/>
      <c r="E34" s="142" t="s">
        <v>349</v>
      </c>
      <c r="F34" s="138"/>
      <c r="G34" s="138"/>
      <c r="H34" s="139"/>
      <c r="I34" s="5283"/>
      <c r="M34" s="23">
        <v>15</v>
      </c>
    </row>
    <row r="35" spans="1:13" ht="25.15" customHeight="1">
      <c r="A35" s="1609"/>
      <c r="C35" s="36"/>
      <c r="D35" s="85" t="s">
        <v>913</v>
      </c>
      <c r="E35" s="55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5509"/>
      <c r="G35" s="5509"/>
      <c r="H35" s="5509"/>
      <c r="I35" s="193"/>
      <c r="M35" s="23">
        <v>24</v>
      </c>
    </row>
    <row r="36" spans="1:13" ht="30.75" customHeight="1">
      <c r="A36" s="1609"/>
      <c r="C36" s="36"/>
      <c r="D36" s="85" t="s">
        <v>1179</v>
      </c>
      <c r="E36" s="144" t="s">
        <v>1160</v>
      </c>
      <c r="F36" s="136"/>
      <c r="G36" s="194" t="s">
        <v>1180</v>
      </c>
      <c r="H36" s="136" t="s">
        <v>333</v>
      </c>
      <c r="I36" s="5257" t="s">
        <v>1181</v>
      </c>
      <c r="M36" s="23">
        <v>14</v>
      </c>
    </row>
    <row r="37" spans="1:13" ht="15.75" customHeight="1">
      <c r="A37" s="1609" t="s">
        <v>93</v>
      </c>
      <c r="C37" s="36"/>
      <c r="D37" s="49"/>
      <c r="E37" s="142" t="s">
        <v>349</v>
      </c>
      <c r="F37" s="138"/>
      <c r="G37" s="138"/>
      <c r="H37" s="139"/>
      <c r="I37" s="5257"/>
      <c r="M37" s="23">
        <v>15</v>
      </c>
    </row>
    <row r="38" spans="1:13" ht="27.4" customHeight="1">
      <c r="A38" s="1609"/>
      <c r="C38" s="36"/>
      <c r="D38" s="85" t="s">
        <v>914</v>
      </c>
      <c r="E38" s="55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5509"/>
      <c r="G38" s="5509"/>
      <c r="H38" s="5509"/>
      <c r="I38" s="193"/>
      <c r="M38" s="23">
        <v>26</v>
      </c>
    </row>
    <row r="39" spans="1:13" ht="15" customHeight="1">
      <c r="A39" s="1609"/>
      <c r="C39" s="36"/>
      <c r="D39" s="85" t="s">
        <v>915</v>
      </c>
      <c r="E39" s="144" t="s">
        <v>1161</v>
      </c>
      <c r="F39" s="136"/>
      <c r="G39" s="145" t="s">
        <v>1182</v>
      </c>
      <c r="H39" s="136" t="s">
        <v>333</v>
      </c>
      <c r="I39" s="5281" t="s">
        <v>1183</v>
      </c>
      <c r="L39" s="93" t="s">
        <v>1162</v>
      </c>
      <c r="M39" s="23">
        <v>14</v>
      </c>
    </row>
    <row r="40" spans="1:13" s="1561" customFormat="1" ht="18.75" customHeight="1">
      <c r="A40" s="1609"/>
      <c r="B40" s="1292"/>
      <c r="C40" s="1655" t="s">
        <v>166</v>
      </c>
      <c r="D40" s="2007" t="s">
        <v>916</v>
      </c>
      <c r="E40" s="144" t="s">
        <v>1161</v>
      </c>
      <c r="F40" s="2022"/>
      <c r="G40" s="2017" t="s">
        <v>1184</v>
      </c>
      <c r="H40" s="2022" t="s">
        <v>333</v>
      </c>
      <c r="I40" s="5547"/>
      <c r="K40" s="1550"/>
      <c r="L40" s="1550" t="s">
        <v>1162</v>
      </c>
      <c r="M40" s="1561">
        <v>0</v>
      </c>
    </row>
    <row r="41" spans="1:13" ht="15.75" customHeight="1">
      <c r="A41" s="1609" t="s">
        <v>113</v>
      </c>
      <c r="C41" s="36"/>
      <c r="D41" s="49"/>
      <c r="E41" s="142" t="s">
        <v>349</v>
      </c>
      <c r="F41" s="138"/>
      <c r="G41" s="138"/>
      <c r="H41" s="139"/>
      <c r="I41" s="5283"/>
      <c r="M41" s="23">
        <v>15</v>
      </c>
    </row>
    <row r="42" spans="1:13" s="1747" customFormat="1" ht="3" customHeight="1">
      <c r="A42" s="1609"/>
      <c r="K42" s="134"/>
      <c r="L42" s="134"/>
      <c r="M42" s="79">
        <v>3</v>
      </c>
    </row>
    <row r="43" spans="1:13" ht="26.25" customHeight="1">
      <c r="D43" s="1607" t="s">
        <v>835</v>
      </c>
      <c r="E43" s="537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3" s="5379"/>
      <c r="G43" s="5379"/>
      <c r="H43" s="5379"/>
      <c r="I43" s="5379"/>
      <c r="M43" s="23">
        <v>25</v>
      </c>
    </row>
    <row r="44" spans="1:13" ht="22.5" hidden="1" customHeight="1">
      <c r="A44" s="1288" t="s">
        <v>84</v>
      </c>
      <c r="B44" s="84">
        <v>0</v>
      </c>
      <c r="C44" s="37">
        <v>3</v>
      </c>
      <c r="D44" s="23">
        <v>6</v>
      </c>
      <c r="E44" s="23">
        <v>63</v>
      </c>
      <c r="F44" s="23">
        <v>0</v>
      </c>
      <c r="G44" s="23">
        <v>35</v>
      </c>
      <c r="H44" s="23">
        <v>35</v>
      </c>
      <c r="I44" s="23">
        <v>91</v>
      </c>
      <c r="J44" s="23">
        <v>68</v>
      </c>
      <c r="K44" s="93">
        <v>10</v>
      </c>
      <c r="L44" s="93">
        <v>10</v>
      </c>
      <c r="M44" s="23">
        <v>23</v>
      </c>
    </row>
  </sheetData>
  <sheetProtection formatColumns="0" formatRows="0" insertRows="0" deleteColumns="0" deleteRows="0" sort="0" autoFilter="0"/>
  <mergeCells count="17">
    <mergeCell ref="E43:I43"/>
    <mergeCell ref="E32:H32"/>
    <mergeCell ref="E35:H35"/>
    <mergeCell ref="E38:H38"/>
    <mergeCell ref="I33:I34"/>
    <mergeCell ref="I36:I37"/>
    <mergeCell ref="I39:I41"/>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I40 I26 E29 G33 E36 I29 E33 I36 G23 E26 I10 E23 G29 E10 G8 E2 I2 I4 G4 E4 E6 I6 G6 E8 I8 E39:E4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G4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62"/>
  <sheetViews>
    <sheetView showGridLines="0" zoomScale="90" workbookViewId="0">
      <pane xSplit="7" ySplit="21" topLeftCell="H22" activePane="bottomRight" state="frozen"/>
      <selection pane="topRight" activeCell="H1" sqref="H1"/>
      <selection pane="bottomLeft" activeCell="A22" sqref="A22"/>
      <selection pane="bottomRight" activeCell="A300" sqref="A300:AH301"/>
    </sheetView>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158</v>
      </c>
      <c r="B2" s="1705" t="s">
        <v>159</v>
      </c>
      <c r="C2" s="305"/>
      <c r="D2" s="281"/>
      <c r="E2" s="960"/>
      <c r="F2" s="960"/>
      <c r="G2" s="5522" t="str">
        <f>INDEX(PT_DIFFERENTIATION_NTAR,MATCH(B2,PT_DIFFERENTIATION_NTAR_ID,0))</f>
        <v>Тариф на тепловую энергию, поставляемую ПАО "ТГК-1" потребителям, расположенным на территории Санкт-Петербурга</v>
      </c>
      <c r="H2" s="1788"/>
      <c r="I2" s="1664"/>
      <c r="J2" s="1698"/>
      <c r="K2" s="1789"/>
      <c r="L2" s="1788" t="s">
        <v>333</v>
      </c>
      <c r="M2" s="1799"/>
      <c r="N2" s="271"/>
      <c r="O2" s="1550"/>
      <c r="P2" s="1550"/>
      <c r="AH2" s="1557">
        <v>0</v>
      </c>
    </row>
    <row r="3" spans="1:34" s="1561" customFormat="1" ht="18.75" hidden="1" customHeight="1">
      <c r="A3" s="1705"/>
      <c r="B3" s="1705"/>
      <c r="C3" s="305" t="s">
        <v>1185</v>
      </c>
      <c r="D3" s="281"/>
      <c r="E3" s="960"/>
      <c r="F3" s="960"/>
      <c r="G3" s="5522"/>
      <c r="H3" s="1426"/>
      <c r="I3" s="587" t="s">
        <v>1186</v>
      </c>
      <c r="J3" s="507"/>
      <c r="K3" s="1426"/>
      <c r="L3" s="152"/>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158</v>
      </c>
      <c r="B5" s="1705" t="s">
        <v>159</v>
      </c>
      <c r="C5" s="305"/>
      <c r="D5" s="281"/>
      <c r="E5" s="960"/>
      <c r="F5" s="960"/>
      <c r="G5" s="5522" t="str">
        <f>INDEX(PT_DIFFERENTIATION_NTAR,MATCH(B5,PT_DIFFERENTIATION_NTAR_ID,0))</f>
        <v>Тариф на тепловую энергию, поставляемую ПАО "ТГК-1" потребителям, расположенным на территории Санкт-Петербурга</v>
      </c>
      <c r="H5" s="1788"/>
      <c r="I5" s="1664"/>
      <c r="J5" s="1698"/>
      <c r="K5" s="1703"/>
      <c r="L5" s="1788" t="s">
        <v>333</v>
      </c>
      <c r="M5" s="1799"/>
      <c r="N5" s="271"/>
      <c r="O5" s="1550"/>
      <c r="P5" s="1550"/>
      <c r="AH5" s="1557">
        <v>0</v>
      </c>
    </row>
    <row r="6" spans="1:34" s="1561" customFormat="1" ht="18.75" hidden="1" customHeight="1">
      <c r="A6" s="1705"/>
      <c r="B6" s="1705"/>
      <c r="C6" s="305" t="s">
        <v>1187</v>
      </c>
      <c r="D6" s="281"/>
      <c r="E6" s="960"/>
      <c r="F6" s="960"/>
      <c r="G6" s="5522"/>
      <c r="H6" s="1426"/>
      <c r="I6" s="587" t="s">
        <v>1186</v>
      </c>
      <c r="J6" s="507"/>
      <c r="K6" s="1426"/>
      <c r="L6" s="152"/>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333</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333</v>
      </c>
      <c r="M10" s="1799"/>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554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5549"/>
      <c r="G14" s="5549"/>
      <c r="H14" s="5549"/>
      <c r="I14" s="5549"/>
      <c r="J14" s="5549"/>
      <c r="K14" s="5549"/>
      <c r="L14" s="5549"/>
      <c r="M14" s="157"/>
      <c r="AH14" s="310">
        <v>14</v>
      </c>
    </row>
    <row r="15" spans="1:34" ht="6.4" customHeight="1">
      <c r="D15" s="312"/>
      <c r="E15" s="299"/>
      <c r="F15" s="325"/>
      <c r="G15" s="325"/>
      <c r="H15" s="325"/>
      <c r="I15" s="325"/>
      <c r="J15" s="325"/>
      <c r="K15" s="325"/>
      <c r="L15" s="259"/>
      <c r="M15" s="131"/>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5371">
        <f>IF(TITLE_DATE_PR_CHANGE="",IF(TITLE_DATE_PR="","",TITLE_DATE_PR),TITLE_DATE_PR_CHANGE)</f>
        <v>45470</v>
      </c>
      <c r="H16" s="5371"/>
      <c r="I16" s="5371"/>
      <c r="J16" s="5371"/>
      <c r="K16" s="5371"/>
      <c r="L16" s="5371"/>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5372" t="str">
        <f>IF(TITLE_NUMBER_PR_CHANGE="",IF(TITLE_NUMBER_PR="","",TITLE_NUMBER_PR),TITLE_NUMBER_PR_CHANGE)</f>
        <v>94-р</v>
      </c>
      <c r="H17" s="5372"/>
      <c r="I17" s="5372"/>
      <c r="J17" s="5372"/>
      <c r="K17" s="5372"/>
      <c r="L17" s="5372"/>
      <c r="M17" s="334"/>
      <c r="N17" s="263"/>
      <c r="AH17" s="310">
        <v>23</v>
      </c>
    </row>
    <row r="18" spans="1:34" ht="14.65" customHeight="1">
      <c r="D18" s="312"/>
      <c r="E18" s="299"/>
      <c r="F18" s="325"/>
      <c r="G18" s="325"/>
      <c r="H18" s="325"/>
      <c r="I18" s="325"/>
      <c r="J18" s="325"/>
      <c r="K18" s="325"/>
      <c r="L18" s="688"/>
      <c r="M18" s="131"/>
      <c r="AH18" s="310">
        <v>14</v>
      </c>
    </row>
    <row r="19" spans="1:34" ht="21.95" customHeight="1">
      <c r="D19" s="312"/>
      <c r="E19" s="5339" t="s">
        <v>327</v>
      </c>
      <c r="F19" s="5339"/>
      <c r="G19" s="5339"/>
      <c r="H19" s="5339"/>
      <c r="I19" s="5339"/>
      <c r="J19" s="5339"/>
      <c r="K19" s="5339"/>
      <c r="L19" s="5339"/>
      <c r="M19" s="5495" t="s">
        <v>328</v>
      </c>
      <c r="AH19" s="310">
        <v>21</v>
      </c>
    </row>
    <row r="20" spans="1:34" ht="21.95" customHeight="1">
      <c r="D20" s="312"/>
      <c r="E20" s="5399" t="s">
        <v>90</v>
      </c>
      <c r="F20" s="5345" t="s">
        <v>124</v>
      </c>
      <c r="G20" s="5345" t="s">
        <v>125</v>
      </c>
      <c r="H20" s="5492" t="s">
        <v>1188</v>
      </c>
      <c r="I20" s="5493"/>
      <c r="J20" s="5524"/>
      <c r="K20" s="5345" t="s">
        <v>330</v>
      </c>
      <c r="L20" s="5345" t="s">
        <v>417</v>
      </c>
      <c r="M20" s="5495"/>
      <c r="AH20" s="310">
        <v>21</v>
      </c>
    </row>
    <row r="21" spans="1:34" ht="21.95" customHeight="1">
      <c r="D21" s="312"/>
      <c r="E21" s="5401"/>
      <c r="F21" s="5346"/>
      <c r="G21" s="5346"/>
      <c r="H21" s="5344" t="s">
        <v>1189</v>
      </c>
      <c r="I21" s="5358"/>
      <c r="J21" s="48" t="s">
        <v>1190</v>
      </c>
      <c r="K21" s="5346"/>
      <c r="L21" s="5346"/>
      <c r="M21" s="5495"/>
      <c r="AH21" s="310">
        <v>21</v>
      </c>
    </row>
    <row r="22" spans="1:34" ht="12.75" customHeight="1">
      <c r="D22" s="312"/>
      <c r="E22" s="218"/>
      <c r="F22" s="218"/>
      <c r="G22" s="218"/>
      <c r="H22" s="5552"/>
      <c r="I22" s="5552"/>
      <c r="J22" s="218"/>
      <c r="K22" s="218"/>
      <c r="L22" s="218"/>
      <c r="M22" s="218"/>
      <c r="AH22" s="310">
        <v>12</v>
      </c>
    </row>
    <row r="23" spans="1:34" ht="19.899999999999999" customHeight="1">
      <c r="A23" s="1705"/>
      <c r="B23" s="1705"/>
      <c r="D23" s="312"/>
      <c r="E23" s="1790" t="s">
        <v>111</v>
      </c>
      <c r="F23" s="5553" t="str">
        <f>"Предлагаемый метод регулирования"&amp;IF(TEMPLATE_SPHERE="HEAT"," в сфере "&amp;TEMPLATE_SPHERE_RUS,"")</f>
        <v>Предлагаемый метод регулирования в сфере теплоснабжения</v>
      </c>
      <c r="G23" s="5553"/>
      <c r="H23" s="5546"/>
      <c r="I23" s="5546"/>
      <c r="J23" s="5546"/>
      <c r="K23" s="5553" t="s">
        <v>333</v>
      </c>
      <c r="L23" s="5546"/>
      <c r="M23" s="1694"/>
      <c r="N23" s="271"/>
      <c r="AH23" s="310">
        <v>19</v>
      </c>
    </row>
    <row r="24" spans="1:34" ht="60.75" hidden="1" customHeight="1">
      <c r="A24" s="1705" t="s">
        <v>158</v>
      </c>
      <c r="B24" s="1705" t="s">
        <v>159</v>
      </c>
      <c r="D24" s="5550"/>
      <c r="E24" s="5334"/>
      <c r="F24" s="555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5522" t="str">
        <f>INDEX(PT_DIFFERENTIATION_NTAR,MATCH(B24,PT_DIFFERENTIATION_NTAR_ID,0))</f>
        <v>Тариф на тепловую энергию, поставляемую ПАО "ТГК-1" потребителям, расположенным на территории Санкт-Петербурга</v>
      </c>
      <c r="H24" s="1786"/>
      <c r="I24" s="1664"/>
      <c r="J24" s="1698"/>
      <c r="K24" s="1789"/>
      <c r="L24" s="1693" t="s">
        <v>333</v>
      </c>
      <c r="M24" s="52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1185</v>
      </c>
      <c r="D25" s="5550"/>
      <c r="E25" s="5334"/>
      <c r="F25" s="5554"/>
      <c r="G25" s="5522"/>
      <c r="H25" s="1426"/>
      <c r="I25" s="587" t="s">
        <v>1186</v>
      </c>
      <c r="J25" s="507"/>
      <c r="K25" s="1426"/>
      <c r="L25" s="152"/>
      <c r="M25" s="5282"/>
      <c r="N25" s="271"/>
      <c r="O25" s="1550"/>
      <c r="P25" s="1550"/>
      <c r="AH25" s="1557">
        <v>0</v>
      </c>
    </row>
    <row r="26" spans="1:34" s="1561" customFormat="1" ht="18.75" customHeight="1">
      <c r="A26" s="1747" t="s">
        <v>158</v>
      </c>
      <c r="B26" s="1747" t="s">
        <v>168</v>
      </c>
      <c r="C26" s="1613"/>
      <c r="D26" s="5551"/>
      <c r="E26" s="5555"/>
      <c r="F26" s="5555"/>
      <c r="G26" s="5522" t="str">
        <f>INDEX(PT_DIFFERENTIATION_NTAR,MATCH(B26,PT_DIFFERENTIATION_NTAR_ID,0))</f>
        <v>Тариф на тепловую энергию, поставляемую ПАО "ТГК-1" на коллекторах источников тепловой энергии потребителям, расположенным на территории Санкт-Петербурга</v>
      </c>
      <c r="H26" s="2010"/>
      <c r="I26" s="1664"/>
      <c r="J26" s="1698"/>
      <c r="K26" s="2013"/>
      <c r="L26" s="2010" t="s">
        <v>333</v>
      </c>
      <c r="M26" s="5431"/>
      <c r="N26" s="554"/>
      <c r="O26" s="1550"/>
      <c r="P26" s="1550"/>
      <c r="AH26" s="1561">
        <v>0</v>
      </c>
    </row>
    <row r="27" spans="1:34" s="1561" customFormat="1" ht="18.75" customHeight="1">
      <c r="A27" s="1747"/>
      <c r="B27" s="1747"/>
      <c r="C27" s="1613" t="s">
        <v>1185</v>
      </c>
      <c r="D27" s="5551"/>
      <c r="E27" s="5555"/>
      <c r="F27" s="5555"/>
      <c r="G27" s="5522"/>
      <c r="H27" s="2390"/>
      <c r="I27" s="2391" t="s">
        <v>1186</v>
      </c>
      <c r="J27" s="2392"/>
      <c r="K27" s="2393"/>
      <c r="L27" s="2394"/>
      <c r="M27" s="5431"/>
      <c r="N27" s="554"/>
      <c r="O27" s="1550"/>
      <c r="P27" s="1550"/>
      <c r="AH27" s="1561">
        <v>0</v>
      </c>
    </row>
    <row r="28" spans="1:34" s="1561" customFormat="1" ht="18.75" customHeight="1">
      <c r="A28" s="1747" t="s">
        <v>158</v>
      </c>
      <c r="B28" s="1747" t="s">
        <v>173</v>
      </c>
      <c r="C28" s="1613"/>
      <c r="D28" s="5551"/>
      <c r="E28" s="5555"/>
      <c r="F28" s="5555"/>
      <c r="G28" s="5522" t="str">
        <f>INDEX(PT_DIFFERENTIATION_NTAR,MATCH(B28,PT_DIFFERENTIATION_NTAR_ID,0))</f>
        <v>Тариф на тепловую энергию (мощность), поставляемую ПАО "ТГК-1" теплоснабжающим, теплосетевым организациям, приобретающим тепловую энергию с целью компенсации потерь тепловой энергии</v>
      </c>
      <c r="H28" s="2010"/>
      <c r="I28" s="1664"/>
      <c r="J28" s="1698"/>
      <c r="K28" s="2013"/>
      <c r="L28" s="2010" t="s">
        <v>333</v>
      </c>
      <c r="M28" s="5431"/>
      <c r="N28" s="554"/>
      <c r="O28" s="1550"/>
      <c r="P28" s="1550"/>
      <c r="AH28" s="1561">
        <v>0</v>
      </c>
    </row>
    <row r="29" spans="1:34" s="1561" customFormat="1" ht="18.75" customHeight="1">
      <c r="A29" s="1747"/>
      <c r="B29" s="1747"/>
      <c r="C29" s="1613" t="s">
        <v>1185</v>
      </c>
      <c r="D29" s="5551"/>
      <c r="E29" s="5555"/>
      <c r="F29" s="5555"/>
      <c r="G29" s="5522"/>
      <c r="H29" s="2395"/>
      <c r="I29" s="2396" t="s">
        <v>1186</v>
      </c>
      <c r="J29" s="2397"/>
      <c r="K29" s="2398"/>
      <c r="L29" s="2399"/>
      <c r="M29" s="5431"/>
      <c r="N29" s="554"/>
      <c r="O29" s="1550"/>
      <c r="P29" s="1550"/>
      <c r="AH29" s="1561">
        <v>0</v>
      </c>
    </row>
    <row r="30" spans="1:34" s="1561" customFormat="1" ht="18.75" customHeight="1">
      <c r="A30" s="1747" t="s">
        <v>158</v>
      </c>
      <c r="B30" s="1747" t="s">
        <v>178</v>
      </c>
      <c r="C30" s="1613"/>
      <c r="D30" s="5551"/>
      <c r="E30" s="5555"/>
      <c r="F30" s="5555"/>
      <c r="G30" s="5522" t="str">
        <f>INDEX(PT_DIFFERENTIATION_NTAR,MATCH(B30,PT_DIFFERENTIATION_NTAR_ID,0))</f>
        <v>Льготные тарифы на тепловую энергию, поставляемую ПАО "ТГК-1" потребителям, расположенным на территории Санкт-Петербурга</v>
      </c>
      <c r="H30" s="2010"/>
      <c r="I30" s="1664"/>
      <c r="J30" s="1698"/>
      <c r="K30" s="2013"/>
      <c r="L30" s="2010" t="s">
        <v>333</v>
      </c>
      <c r="M30" s="5431"/>
      <c r="N30" s="554"/>
      <c r="O30" s="1550"/>
      <c r="P30" s="1550"/>
      <c r="AH30" s="1561">
        <v>0</v>
      </c>
    </row>
    <row r="31" spans="1:34" s="1561" customFormat="1" ht="18.75" customHeight="1">
      <c r="A31" s="1747"/>
      <c r="B31" s="1747"/>
      <c r="C31" s="1613" t="s">
        <v>1185</v>
      </c>
      <c r="D31" s="5551"/>
      <c r="E31" s="5555"/>
      <c r="F31" s="5555"/>
      <c r="G31" s="5522"/>
      <c r="H31" s="2400"/>
      <c r="I31" s="2401" t="s">
        <v>1186</v>
      </c>
      <c r="J31" s="2402"/>
      <c r="K31" s="2403"/>
      <c r="L31" s="2404"/>
      <c r="M31" s="5431"/>
      <c r="N31" s="554"/>
      <c r="O31" s="1550"/>
      <c r="P31" s="1550"/>
      <c r="AH31" s="1561">
        <v>0</v>
      </c>
    </row>
    <row r="32" spans="1:34" ht="0.75" hidden="1" customHeight="1">
      <c r="A32" s="1705"/>
      <c r="B32" s="1705"/>
      <c r="C32" s="305" t="s">
        <v>1191</v>
      </c>
      <c r="D32" s="5550"/>
      <c r="E32" s="5334"/>
      <c r="F32" s="5485"/>
      <c r="G32" s="336"/>
      <c r="H32" s="1426"/>
      <c r="I32" s="331"/>
      <c r="J32" s="285"/>
      <c r="K32" s="1426"/>
      <c r="L32" s="139"/>
      <c r="M32" s="5282"/>
      <c r="N32" s="271"/>
      <c r="AH32" s="310">
        <v>0</v>
      </c>
    </row>
    <row r="33" spans="1:34" s="1561" customFormat="1" ht="45" hidden="1" customHeight="1">
      <c r="A33" s="1705" t="s">
        <v>184</v>
      </c>
      <c r="B33" s="1705" t="s">
        <v>185</v>
      </c>
      <c r="C33" s="305"/>
      <c r="D33" s="5548"/>
      <c r="E33" s="5556"/>
      <c r="F33" s="5557" t="str">
        <f>INDEX(PT_DIFFERENTIATION_VTAR,MATCH(A33,PT_DIFFERENTIATION_VTAR_ID,0))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3" s="5522" t="str">
        <f>INDEX(PT_DIFFERENTIATION_NTAR,MATCH(B33,PT_DIFFERENTIATION_NTAR_ID,0))</f>
        <v/>
      </c>
      <c r="H33" s="1786"/>
      <c r="I33" s="1664"/>
      <c r="J33" s="1698"/>
      <c r="K33" s="1789"/>
      <c r="L33" s="1786" t="s">
        <v>333</v>
      </c>
      <c r="M33" s="5282"/>
      <c r="N33" s="271"/>
      <c r="O33" s="1550"/>
      <c r="P33" s="1550"/>
      <c r="AH33" s="1557">
        <v>0</v>
      </c>
    </row>
    <row r="34" spans="1:34" s="1561" customFormat="1" ht="18.75" hidden="1" customHeight="1">
      <c r="A34" s="1705"/>
      <c r="B34" s="1705"/>
      <c r="C34" s="305" t="s">
        <v>1185</v>
      </c>
      <c r="D34" s="5548"/>
      <c r="E34" s="5556"/>
      <c r="F34" s="5557"/>
      <c r="G34" s="5522"/>
      <c r="H34" s="1426"/>
      <c r="I34" s="587" t="s">
        <v>1186</v>
      </c>
      <c r="J34" s="507"/>
      <c r="K34" s="1426"/>
      <c r="L34" s="152"/>
      <c r="M34" s="5282"/>
      <c r="N34" s="271"/>
      <c r="O34" s="1550"/>
      <c r="P34" s="1550"/>
      <c r="AH34" s="1557">
        <v>0</v>
      </c>
    </row>
    <row r="35" spans="1:34" s="1561" customFormat="1" ht="0.75" hidden="1" customHeight="1">
      <c r="A35" s="1705"/>
      <c r="B35" s="1705"/>
      <c r="C35" s="305" t="s">
        <v>1191</v>
      </c>
      <c r="D35" s="5548"/>
      <c r="E35" s="5334"/>
      <c r="F35" s="5485"/>
      <c r="G35" s="336"/>
      <c r="H35" s="1426"/>
      <c r="I35" s="587"/>
      <c r="J35" s="507"/>
      <c r="K35" s="1426"/>
      <c r="L35" s="152"/>
      <c r="M35" s="5282"/>
      <c r="N35" s="271"/>
      <c r="O35" s="1550"/>
      <c r="P35" s="1550"/>
      <c r="AH35" s="1557">
        <v>0</v>
      </c>
    </row>
    <row r="36" spans="1:34" s="1561" customFormat="1" ht="45" hidden="1" customHeight="1">
      <c r="A36" s="1705" t="s">
        <v>192</v>
      </c>
      <c r="B36" s="1705" t="s">
        <v>193</v>
      </c>
      <c r="C36" s="305"/>
      <c r="D36" s="5548"/>
      <c r="E36" s="5334"/>
      <c r="F36" s="5485" t="str">
        <f>INDEX(PT_DIFFERENTIATION_VTAR,MATCH(A36,PT_DIFFERENTIATION_VTAR_ID,0))</f>
        <v>Тарифы на теплоноситель, поставляемый теплоснабжающими организациями потребителям, другим теплоснабжающим организациям</v>
      </c>
      <c r="G36" s="5522" t="str">
        <f>INDEX(PT_DIFFERENTIATION_NTAR,MATCH(B36,PT_DIFFERENTIATION_NTAR_ID,0))</f>
        <v>Тариф на теплоноситель, поставляемый ПАО "ТГК-1" потребителям, расположенным на территории Санкт-Петербурга</v>
      </c>
      <c r="H36" s="1786"/>
      <c r="I36" s="1664"/>
      <c r="J36" s="1698"/>
      <c r="K36" s="1789"/>
      <c r="L36" s="1786" t="s">
        <v>333</v>
      </c>
      <c r="M36" s="5282"/>
      <c r="N36" s="271"/>
      <c r="O36" s="1550"/>
      <c r="P36" s="1550"/>
      <c r="AH36" s="1557">
        <v>0</v>
      </c>
    </row>
    <row r="37" spans="1:34" s="1561" customFormat="1" ht="18.75" hidden="1" customHeight="1">
      <c r="A37" s="1705"/>
      <c r="B37" s="1705"/>
      <c r="C37" s="305" t="s">
        <v>1185</v>
      </c>
      <c r="D37" s="5548"/>
      <c r="E37" s="5334"/>
      <c r="F37" s="5485"/>
      <c r="G37" s="5522"/>
      <c r="H37" s="1426"/>
      <c r="I37" s="587" t="s">
        <v>1186</v>
      </c>
      <c r="J37" s="507"/>
      <c r="K37" s="1426"/>
      <c r="L37" s="152"/>
      <c r="M37" s="5282"/>
      <c r="N37" s="271"/>
      <c r="O37" s="1550"/>
      <c r="P37" s="1550"/>
      <c r="AH37" s="1557">
        <v>0</v>
      </c>
    </row>
    <row r="38" spans="1:34" s="1561" customFormat="1" ht="0.75" hidden="1" customHeight="1">
      <c r="A38" s="1705"/>
      <c r="B38" s="1705"/>
      <c r="C38" s="305" t="s">
        <v>1191</v>
      </c>
      <c r="D38" s="5548"/>
      <c r="E38" s="5334"/>
      <c r="F38" s="5485"/>
      <c r="G38" s="336"/>
      <c r="H38" s="1426"/>
      <c r="I38" s="587"/>
      <c r="J38" s="507"/>
      <c r="K38" s="1426"/>
      <c r="L38" s="152"/>
      <c r="M38" s="5282"/>
      <c r="N38" s="271"/>
      <c r="O38" s="1550"/>
      <c r="P38" s="1550"/>
      <c r="AH38" s="1557">
        <v>0</v>
      </c>
    </row>
    <row r="39" spans="1:34" s="1561" customFormat="1" ht="45" hidden="1" customHeight="1">
      <c r="A39" s="1705" t="s">
        <v>200</v>
      </c>
      <c r="B39" s="1705" t="s">
        <v>201</v>
      </c>
      <c r="C39" s="305"/>
      <c r="D39" s="5548"/>
      <c r="E39" s="5334"/>
      <c r="F39" s="5485" t="str">
        <f>INDEX(PT_DIFFERENTIATION_VTAR,MATCH(A39,PT_DIFFERENTIATION_VTAR_ID,0))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9" s="5522" t="str">
        <f>INDEX(PT_DIFFERENTIATION_NTAR,MATCH(B39,PT_DIFFERENTIATION_NTAR_ID,0))</f>
        <v>Тариф на горячую воду (горячее водоснабжение), поставляемую ПАО "ТГК-1" в открытых системах теплоснабжения потребителям, расположенным на территории Санкт-Петербурга</v>
      </c>
      <c r="H39" s="1786"/>
      <c r="I39" s="1664"/>
      <c r="J39" s="1698"/>
      <c r="K39" s="1789"/>
      <c r="L39" s="1786" t="s">
        <v>333</v>
      </c>
      <c r="M39" s="5282"/>
      <c r="N39" s="271"/>
      <c r="O39" s="1550"/>
      <c r="P39" s="1550"/>
      <c r="AH39" s="1557">
        <v>0</v>
      </c>
    </row>
    <row r="40" spans="1:34" s="1561" customFormat="1" ht="18.75" hidden="1" customHeight="1">
      <c r="A40" s="1705"/>
      <c r="B40" s="1705"/>
      <c r="C40" s="305" t="s">
        <v>1185</v>
      </c>
      <c r="D40" s="5548"/>
      <c r="E40" s="5334"/>
      <c r="F40" s="5485"/>
      <c r="G40" s="5522"/>
      <c r="H40" s="1426"/>
      <c r="I40" s="587" t="s">
        <v>1186</v>
      </c>
      <c r="J40" s="507"/>
      <c r="K40" s="1426"/>
      <c r="L40" s="152"/>
      <c r="M40" s="5282"/>
      <c r="N40" s="271"/>
      <c r="O40" s="1550"/>
      <c r="P40" s="1550"/>
      <c r="AH40" s="1557">
        <v>0</v>
      </c>
    </row>
    <row r="41" spans="1:34" s="1561" customFormat="1" ht="0.75" hidden="1" customHeight="1">
      <c r="A41" s="1705"/>
      <c r="B41" s="1705"/>
      <c r="C41" s="305" t="s">
        <v>1191</v>
      </c>
      <c r="D41" s="5548"/>
      <c r="E41" s="5334"/>
      <c r="F41" s="5485"/>
      <c r="G41" s="336"/>
      <c r="H41" s="1426"/>
      <c r="I41" s="587"/>
      <c r="J41" s="507"/>
      <c r="K41" s="1426"/>
      <c r="L41" s="152"/>
      <c r="M41" s="5282"/>
      <c r="N41" s="271"/>
      <c r="O41" s="1550"/>
      <c r="P41" s="1550"/>
      <c r="AH41" s="1557">
        <v>0</v>
      </c>
    </row>
    <row r="42" spans="1:34" s="1561" customFormat="1" ht="18.75" hidden="1" customHeight="1">
      <c r="A42" s="1705" t="s">
        <v>206</v>
      </c>
      <c r="B42" s="1705" t="s">
        <v>207</v>
      </c>
      <c r="C42" s="305"/>
      <c r="D42" s="5548"/>
      <c r="E42" s="5334"/>
      <c r="F42" s="5485" t="str">
        <f>INDEX(PT_DIFFERENTIATION_VTAR,MATCH(A42,PT_DIFFERENTIATION_VTAR_ID,0))</f>
        <v>Тарифы на услуги по передаче тепловой энергии</v>
      </c>
      <c r="G42" s="5522" t="str">
        <f>INDEX(PT_DIFFERENTIATION_NTAR,MATCH(B42,PT_DIFFERENTIATION_NTAR_ID,0))</f>
        <v/>
      </c>
      <c r="H42" s="1786"/>
      <c r="I42" s="1664"/>
      <c r="J42" s="1698"/>
      <c r="K42" s="1789"/>
      <c r="L42" s="1786" t="s">
        <v>333</v>
      </c>
      <c r="M42" s="5282"/>
      <c r="N42" s="271"/>
      <c r="O42" s="1550"/>
      <c r="P42" s="1550"/>
      <c r="AH42" s="1557">
        <v>0</v>
      </c>
    </row>
    <row r="43" spans="1:34" s="1561" customFormat="1" ht="18.75" hidden="1" customHeight="1">
      <c r="A43" s="1705"/>
      <c r="B43" s="1705"/>
      <c r="C43" s="305" t="s">
        <v>1185</v>
      </c>
      <c r="D43" s="5548"/>
      <c r="E43" s="5334"/>
      <c r="F43" s="5485"/>
      <c r="G43" s="5522"/>
      <c r="H43" s="1426"/>
      <c r="I43" s="587" t="s">
        <v>1186</v>
      </c>
      <c r="J43" s="507"/>
      <c r="K43" s="1426"/>
      <c r="L43" s="152"/>
      <c r="M43" s="5282"/>
      <c r="N43" s="271"/>
      <c r="O43" s="1550"/>
      <c r="P43" s="1550"/>
      <c r="AH43" s="1557">
        <v>0</v>
      </c>
    </row>
    <row r="44" spans="1:34" s="1561" customFormat="1" ht="0.75" hidden="1" customHeight="1">
      <c r="A44" s="1705"/>
      <c r="B44" s="1705"/>
      <c r="C44" s="305" t="s">
        <v>1191</v>
      </c>
      <c r="D44" s="5548"/>
      <c r="E44" s="5334"/>
      <c r="F44" s="5485"/>
      <c r="G44" s="336"/>
      <c r="H44" s="1426"/>
      <c r="I44" s="587"/>
      <c r="J44" s="507"/>
      <c r="K44" s="1426"/>
      <c r="L44" s="152"/>
      <c r="M44" s="5282"/>
      <c r="N44" s="271"/>
      <c r="O44" s="1550"/>
      <c r="P44" s="1550"/>
      <c r="AH44" s="1557">
        <v>0</v>
      </c>
    </row>
    <row r="45" spans="1:34" s="1561" customFormat="1" ht="18.75" hidden="1" customHeight="1">
      <c r="A45" s="1705" t="s">
        <v>212</v>
      </c>
      <c r="B45" s="1705" t="s">
        <v>213</v>
      </c>
      <c r="C45" s="305"/>
      <c r="D45" s="5548"/>
      <c r="E45" s="5334"/>
      <c r="F45" s="5485" t="str">
        <f>INDEX(PT_DIFFERENTIATION_VTAR,MATCH(A45,PT_DIFFERENTIATION_VTAR_ID,0))</f>
        <v>Тарифы на услуги по передаче теплоносителя</v>
      </c>
      <c r="G45" s="5522" t="str">
        <f>INDEX(PT_DIFFERENTIATION_NTAR,MATCH(B45,PT_DIFFERENTIATION_NTAR_ID,0))</f>
        <v/>
      </c>
      <c r="H45" s="1786"/>
      <c r="I45" s="1664"/>
      <c r="J45" s="1698"/>
      <c r="K45" s="1789"/>
      <c r="L45" s="1786" t="s">
        <v>333</v>
      </c>
      <c r="M45" s="5282"/>
      <c r="N45" s="271"/>
      <c r="O45" s="1550"/>
      <c r="P45" s="1550"/>
      <c r="AH45" s="1557">
        <v>0</v>
      </c>
    </row>
    <row r="46" spans="1:34" s="1561" customFormat="1" ht="18.75" hidden="1" customHeight="1">
      <c r="A46" s="1705"/>
      <c r="B46" s="1705"/>
      <c r="C46" s="305" t="s">
        <v>1185</v>
      </c>
      <c r="D46" s="5548"/>
      <c r="E46" s="5334"/>
      <c r="F46" s="5485"/>
      <c r="G46" s="5522"/>
      <c r="H46" s="1426"/>
      <c r="I46" s="587" t="s">
        <v>1186</v>
      </c>
      <c r="J46" s="507"/>
      <c r="K46" s="1426"/>
      <c r="L46" s="152"/>
      <c r="M46" s="5282"/>
      <c r="N46" s="271"/>
      <c r="O46" s="1550"/>
      <c r="P46" s="1550"/>
      <c r="AH46" s="1557">
        <v>0</v>
      </c>
    </row>
    <row r="47" spans="1:34" s="1561" customFormat="1" ht="0.75" hidden="1" customHeight="1">
      <c r="A47" s="1705"/>
      <c r="B47" s="1705"/>
      <c r="C47" s="305" t="s">
        <v>1191</v>
      </c>
      <c r="D47" s="5548"/>
      <c r="E47" s="5334"/>
      <c r="F47" s="5485"/>
      <c r="G47" s="336"/>
      <c r="H47" s="1426"/>
      <c r="I47" s="587"/>
      <c r="J47" s="507"/>
      <c r="K47" s="1426"/>
      <c r="L47" s="152"/>
      <c r="M47" s="5282"/>
      <c r="N47" s="271"/>
      <c r="O47" s="1550"/>
      <c r="P47" s="1550"/>
      <c r="AH47" s="1557">
        <v>0</v>
      </c>
    </row>
    <row r="48" spans="1:34" s="1561" customFormat="1" ht="18.75" hidden="1" customHeight="1">
      <c r="A48" s="1705" t="s">
        <v>220</v>
      </c>
      <c r="B48" s="1705" t="s">
        <v>221</v>
      </c>
      <c r="C48" s="305"/>
      <c r="D48" s="5548"/>
      <c r="E48" s="5334"/>
      <c r="F48" s="5485" t="str">
        <f>INDEX(PT_DIFFERENTIATION_VTAR,MATCH(A48,PT_DIFFERENTIATION_VTAR_ID,0))</f>
        <v>Плата за услуги по поддержанию резервной тепловой мощности при отсутствии потребления тепловой энергии</v>
      </c>
      <c r="G48" s="5522" t="str">
        <f>INDEX(PT_DIFFERENTIATION_NTAR,MATCH(B48,PT_DIFFERENTIATION_NTAR_ID,0))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48" s="1786"/>
      <c r="I48" s="1664"/>
      <c r="J48" s="1698"/>
      <c r="K48" s="1789"/>
      <c r="L48" s="1786" t="s">
        <v>333</v>
      </c>
      <c r="M48" s="5282"/>
      <c r="N48" s="271"/>
      <c r="O48" s="1550"/>
      <c r="P48" s="1550"/>
      <c r="AH48" s="1557">
        <v>0</v>
      </c>
    </row>
    <row r="49" spans="1:34" s="1561" customFormat="1" ht="18.75" hidden="1" customHeight="1">
      <c r="A49" s="1705"/>
      <c r="B49" s="1705"/>
      <c r="C49" s="305" t="s">
        <v>1185</v>
      </c>
      <c r="D49" s="5548"/>
      <c r="E49" s="5334"/>
      <c r="F49" s="5485"/>
      <c r="G49" s="5522"/>
      <c r="H49" s="1426"/>
      <c r="I49" s="587" t="s">
        <v>1186</v>
      </c>
      <c r="J49" s="507"/>
      <c r="K49" s="1426"/>
      <c r="L49" s="152"/>
      <c r="M49" s="5282"/>
      <c r="N49" s="271"/>
      <c r="O49" s="1550"/>
      <c r="P49" s="1550"/>
      <c r="AH49" s="1557">
        <v>0</v>
      </c>
    </row>
    <row r="50" spans="1:34" s="1561" customFormat="1" ht="0.75" hidden="1" customHeight="1">
      <c r="A50" s="1705"/>
      <c r="B50" s="1705"/>
      <c r="C50" s="305" t="s">
        <v>1191</v>
      </c>
      <c r="D50" s="5548"/>
      <c r="E50" s="5334"/>
      <c r="F50" s="5485"/>
      <c r="G50" s="336"/>
      <c r="H50" s="1426"/>
      <c r="I50" s="587"/>
      <c r="J50" s="507"/>
      <c r="K50" s="1426"/>
      <c r="L50" s="152"/>
      <c r="M50" s="5282"/>
      <c r="N50" s="271"/>
      <c r="O50" s="1550"/>
      <c r="P50" s="1550"/>
      <c r="AH50" s="1557">
        <v>0</v>
      </c>
    </row>
    <row r="51" spans="1:34" s="1561" customFormat="1" ht="18.75" hidden="1" customHeight="1">
      <c r="A51" s="1705" t="s">
        <v>226</v>
      </c>
      <c r="B51" s="1705" t="s">
        <v>227</v>
      </c>
      <c r="C51" s="305"/>
      <c r="D51" s="5548"/>
      <c r="E51" s="5334"/>
      <c r="F51" s="5485" t="str">
        <f>INDEX(PT_DIFFERENTIATION_VTAR,MATCH(A51,PT_DIFFERENTIATION_VTAR_ID,0))</f>
        <v>Плата за подключение (технологическое присоединение) к системе теплоснабжения</v>
      </c>
      <c r="G51" s="5522" t="str">
        <f>INDEX(PT_DIFFERENTIATION_NTAR,MATCH(B51,PT_DIFFERENTIATION_NTAR_ID,0))</f>
        <v/>
      </c>
      <c r="H51" s="1786"/>
      <c r="I51" s="1664"/>
      <c r="J51" s="1698"/>
      <c r="K51" s="1789"/>
      <c r="L51" s="1786" t="s">
        <v>333</v>
      </c>
      <c r="M51" s="5282"/>
      <c r="N51" s="271"/>
      <c r="O51" s="1550"/>
      <c r="P51" s="1550"/>
      <c r="AH51" s="1557">
        <v>0</v>
      </c>
    </row>
    <row r="52" spans="1:34" s="1561" customFormat="1" ht="18.75" hidden="1" customHeight="1">
      <c r="A52" s="1705"/>
      <c r="B52" s="1705"/>
      <c r="C52" s="305" t="s">
        <v>1185</v>
      </c>
      <c r="D52" s="5548"/>
      <c r="E52" s="5334"/>
      <c r="F52" s="5485"/>
      <c r="G52" s="5522"/>
      <c r="H52" s="1426"/>
      <c r="I52" s="587" t="s">
        <v>1186</v>
      </c>
      <c r="J52" s="507"/>
      <c r="K52" s="1426"/>
      <c r="L52" s="152"/>
      <c r="M52" s="5282"/>
      <c r="N52" s="271"/>
      <c r="O52" s="1550"/>
      <c r="P52" s="1550"/>
      <c r="AH52" s="1557">
        <v>0</v>
      </c>
    </row>
    <row r="53" spans="1:34" s="1561" customFormat="1" ht="0.75" hidden="1" customHeight="1">
      <c r="A53" s="1705"/>
      <c r="B53" s="1705"/>
      <c r="C53" s="305" t="s">
        <v>1191</v>
      </c>
      <c r="D53" s="5548"/>
      <c r="E53" s="5334"/>
      <c r="F53" s="5485"/>
      <c r="G53" s="336"/>
      <c r="H53" s="1426"/>
      <c r="I53" s="587"/>
      <c r="J53" s="507"/>
      <c r="K53" s="1426"/>
      <c r="L53" s="152"/>
      <c r="M53" s="5282"/>
      <c r="N53" s="271"/>
      <c r="O53" s="1550"/>
      <c r="P53" s="1550"/>
      <c r="AH53" s="1557">
        <v>0</v>
      </c>
    </row>
    <row r="54" spans="1:34" s="1561" customFormat="1" ht="18.75" hidden="1" customHeight="1">
      <c r="A54" s="1705" t="s">
        <v>232</v>
      </c>
      <c r="B54" s="1705" t="s">
        <v>233</v>
      </c>
      <c r="C54" s="305"/>
      <c r="D54" s="5548"/>
      <c r="E54" s="5334"/>
      <c r="F54" s="5485" t="str">
        <f>INDEX(PT_DIFFERENTIATION_VTAR,MATCH(A54,PT_DIFFERENTIATION_VTAR_ID,0))</f>
        <v>Плата за подключение (технологическое присоединение) к системе теплоснабжения (индивидуальная)</v>
      </c>
      <c r="G54" s="5522" t="str">
        <f>INDEX(PT_DIFFERENTIATION_NTAR,MATCH(B54,PT_DIFFERENTIATION_NTAR_ID,0))</f>
        <v/>
      </c>
      <c r="H54" s="1910"/>
      <c r="I54" s="1664"/>
      <c r="J54" s="1698"/>
      <c r="K54" s="1789"/>
      <c r="L54" s="1910" t="s">
        <v>333</v>
      </c>
      <c r="M54" s="5282"/>
      <c r="N54" s="271"/>
      <c r="O54" s="1550"/>
      <c r="P54" s="1550"/>
      <c r="AH54" s="1557">
        <v>0</v>
      </c>
    </row>
    <row r="55" spans="1:34" s="1561" customFormat="1" ht="18.75" hidden="1" customHeight="1">
      <c r="A55" s="1705"/>
      <c r="B55" s="1705"/>
      <c r="C55" s="305" t="s">
        <v>1185</v>
      </c>
      <c r="D55" s="5548"/>
      <c r="E55" s="5334"/>
      <c r="F55" s="5485"/>
      <c r="G55" s="5522"/>
      <c r="H55" s="1426"/>
      <c r="I55" s="587" t="s">
        <v>1186</v>
      </c>
      <c r="J55" s="507"/>
      <c r="K55" s="1426"/>
      <c r="L55" s="152"/>
      <c r="M55" s="5282"/>
      <c r="N55" s="271"/>
      <c r="O55" s="1550"/>
      <c r="P55" s="1550"/>
      <c r="AH55" s="1557">
        <v>0</v>
      </c>
    </row>
    <row r="56" spans="1:34" s="1561" customFormat="1" ht="0.75" hidden="1" customHeight="1">
      <c r="A56" s="1705"/>
      <c r="B56" s="1705"/>
      <c r="C56" s="305" t="s">
        <v>1191</v>
      </c>
      <c r="D56" s="5548"/>
      <c r="E56" s="5334"/>
      <c r="F56" s="5485"/>
      <c r="G56" s="336"/>
      <c r="H56" s="1426"/>
      <c r="I56" s="587"/>
      <c r="J56" s="507"/>
      <c r="K56" s="1426"/>
      <c r="L56" s="152"/>
      <c r="M56" s="5282"/>
      <c r="N56" s="271"/>
      <c r="O56" s="1550"/>
      <c r="P56" s="1550"/>
      <c r="AH56" s="1557">
        <v>0</v>
      </c>
    </row>
    <row r="57" spans="1:34" s="1561" customFormat="1" ht="18.75" hidden="1" customHeight="1">
      <c r="A57" s="1705" t="s">
        <v>252</v>
      </c>
      <c r="B57" s="1705" t="s">
        <v>253</v>
      </c>
      <c r="C57" s="305"/>
      <c r="D57" s="5548"/>
      <c r="E57" s="5334"/>
      <c r="F57" s="5485" t="str">
        <f>INDEX(PT_DIFFERENTIATION_VTAR,MATCH(A57,PT_DIFFERENTIATION_VTAR_ID,0))</f>
        <v>Тариф на питьевую воду (питьевое водоснабжение)</v>
      </c>
      <c r="G57" s="5522" t="str">
        <f>INDEX(PT_DIFFERENTIATION_NTAR,MATCH(B57,PT_DIFFERENTIATION_NTAR_ID,0))</f>
        <v/>
      </c>
      <c r="H57" s="1786"/>
      <c r="I57" s="1664"/>
      <c r="J57" s="1698"/>
      <c r="K57" s="1789"/>
      <c r="L57" s="1786" t="s">
        <v>333</v>
      </c>
      <c r="M57" s="5282"/>
      <c r="N57" s="271"/>
      <c r="O57" s="1550"/>
      <c r="P57" s="1550"/>
      <c r="AH57" s="1557">
        <v>0</v>
      </c>
    </row>
    <row r="58" spans="1:34" s="1561" customFormat="1" ht="18.75" hidden="1" customHeight="1">
      <c r="A58" s="1705"/>
      <c r="B58" s="1705"/>
      <c r="C58" s="305" t="s">
        <v>1185</v>
      </c>
      <c r="D58" s="5548"/>
      <c r="E58" s="5334"/>
      <c r="F58" s="5485"/>
      <c r="G58" s="5522"/>
      <c r="H58" s="1426"/>
      <c r="I58" s="587" t="s">
        <v>1186</v>
      </c>
      <c r="J58" s="507"/>
      <c r="K58" s="1426"/>
      <c r="L58" s="152"/>
      <c r="M58" s="5282"/>
      <c r="N58" s="271"/>
      <c r="O58" s="1550"/>
      <c r="P58" s="1550"/>
      <c r="AH58" s="1557">
        <v>0</v>
      </c>
    </row>
    <row r="59" spans="1:34" s="1561" customFormat="1" ht="0.75" hidden="1" customHeight="1">
      <c r="A59" s="1705"/>
      <c r="B59" s="1705"/>
      <c r="C59" s="305" t="s">
        <v>1191</v>
      </c>
      <c r="D59" s="5548"/>
      <c r="E59" s="5334"/>
      <c r="F59" s="5485"/>
      <c r="G59" s="336"/>
      <c r="H59" s="1426"/>
      <c r="I59" s="587"/>
      <c r="J59" s="507"/>
      <c r="K59" s="1426"/>
      <c r="L59" s="152"/>
      <c r="M59" s="5282"/>
      <c r="N59" s="271"/>
      <c r="O59" s="1550"/>
      <c r="P59" s="1550"/>
      <c r="AH59" s="1557">
        <v>0</v>
      </c>
    </row>
    <row r="60" spans="1:34" s="1561" customFormat="1" ht="18.75" hidden="1" customHeight="1">
      <c r="A60" s="1705" t="s">
        <v>257</v>
      </c>
      <c r="B60" s="1705" t="s">
        <v>258</v>
      </c>
      <c r="C60" s="305"/>
      <c r="D60" s="5548"/>
      <c r="E60" s="5334"/>
      <c r="F60" s="5485" t="str">
        <f>INDEX(PT_DIFFERENTIATION_VTAR,MATCH(A60,PT_DIFFERENTIATION_VTAR_ID,0))</f>
        <v>Тариф на техническую воду</v>
      </c>
      <c r="G60" s="5522" t="str">
        <f>INDEX(PT_DIFFERENTIATION_NTAR,MATCH(B60,PT_DIFFERENTIATION_NTAR_ID,0))</f>
        <v/>
      </c>
      <c r="H60" s="1786"/>
      <c r="I60" s="1664"/>
      <c r="J60" s="1698"/>
      <c r="K60" s="1789"/>
      <c r="L60" s="1786" t="s">
        <v>333</v>
      </c>
      <c r="M60" s="5282"/>
      <c r="N60" s="271"/>
      <c r="O60" s="1550"/>
      <c r="P60" s="1550"/>
      <c r="AH60" s="1557">
        <v>0</v>
      </c>
    </row>
    <row r="61" spans="1:34" s="1561" customFormat="1" ht="18.75" hidden="1" customHeight="1">
      <c r="A61" s="1705"/>
      <c r="B61" s="1705"/>
      <c r="C61" s="305" t="s">
        <v>1185</v>
      </c>
      <c r="D61" s="5548"/>
      <c r="E61" s="5334"/>
      <c r="F61" s="5485"/>
      <c r="G61" s="5522"/>
      <c r="H61" s="1426"/>
      <c r="I61" s="587" t="s">
        <v>1186</v>
      </c>
      <c r="J61" s="507"/>
      <c r="K61" s="1426"/>
      <c r="L61" s="152"/>
      <c r="M61" s="5282"/>
      <c r="N61" s="271"/>
      <c r="O61" s="1550"/>
      <c r="P61" s="1550"/>
      <c r="AH61" s="1557">
        <v>0</v>
      </c>
    </row>
    <row r="62" spans="1:34" s="1561" customFormat="1" ht="0.75" hidden="1" customHeight="1">
      <c r="A62" s="1705"/>
      <c r="B62" s="1705"/>
      <c r="C62" s="305" t="s">
        <v>1191</v>
      </c>
      <c r="D62" s="5548"/>
      <c r="E62" s="5334"/>
      <c r="F62" s="5485"/>
      <c r="G62" s="336"/>
      <c r="H62" s="1426"/>
      <c r="I62" s="587"/>
      <c r="J62" s="507"/>
      <c r="K62" s="1426"/>
      <c r="L62" s="152"/>
      <c r="M62" s="5282"/>
      <c r="N62" s="271"/>
      <c r="O62" s="1550"/>
      <c r="P62" s="1550"/>
      <c r="AH62" s="1557">
        <v>0</v>
      </c>
    </row>
    <row r="63" spans="1:34" s="1561" customFormat="1" ht="18.75" hidden="1" customHeight="1">
      <c r="A63" s="1705" t="s">
        <v>262</v>
      </c>
      <c r="B63" s="1705" t="s">
        <v>263</v>
      </c>
      <c r="C63" s="305"/>
      <c r="D63" s="5548"/>
      <c r="E63" s="5334"/>
      <c r="F63" s="5485" t="str">
        <f>INDEX(PT_DIFFERENTIATION_VTAR,MATCH(A63,PT_DIFFERENTIATION_VTAR_ID,0))</f>
        <v>Тариф на транспортировку воды</v>
      </c>
      <c r="G63" s="5522" t="str">
        <f>INDEX(PT_DIFFERENTIATION_NTAR,MATCH(B63,PT_DIFFERENTIATION_NTAR_ID,0))</f>
        <v/>
      </c>
      <c r="H63" s="1786"/>
      <c r="I63" s="1664"/>
      <c r="J63" s="1698"/>
      <c r="K63" s="1789"/>
      <c r="L63" s="1786" t="s">
        <v>333</v>
      </c>
      <c r="M63" s="5282"/>
      <c r="N63" s="271"/>
      <c r="O63" s="1550"/>
      <c r="P63" s="1550"/>
      <c r="AH63" s="1557">
        <v>0</v>
      </c>
    </row>
    <row r="64" spans="1:34" s="1561" customFormat="1" ht="18.75" hidden="1" customHeight="1">
      <c r="A64" s="1705"/>
      <c r="B64" s="1705"/>
      <c r="C64" s="305" t="s">
        <v>1185</v>
      </c>
      <c r="D64" s="5548"/>
      <c r="E64" s="5334"/>
      <c r="F64" s="5485"/>
      <c r="G64" s="5522"/>
      <c r="H64" s="1426"/>
      <c r="I64" s="587" t="s">
        <v>1186</v>
      </c>
      <c r="J64" s="507"/>
      <c r="K64" s="1426"/>
      <c r="L64" s="152"/>
      <c r="M64" s="5282"/>
      <c r="N64" s="271"/>
      <c r="O64" s="1550"/>
      <c r="P64" s="1550"/>
      <c r="AH64" s="1557">
        <v>0</v>
      </c>
    </row>
    <row r="65" spans="1:34" s="1561" customFormat="1" ht="0.75" hidden="1" customHeight="1">
      <c r="A65" s="1705"/>
      <c r="B65" s="1705"/>
      <c r="C65" s="305" t="s">
        <v>1191</v>
      </c>
      <c r="D65" s="5548"/>
      <c r="E65" s="5334"/>
      <c r="F65" s="5485"/>
      <c r="G65" s="336"/>
      <c r="H65" s="1426"/>
      <c r="I65" s="587"/>
      <c r="J65" s="507"/>
      <c r="K65" s="1426"/>
      <c r="L65" s="152"/>
      <c r="M65" s="5282"/>
      <c r="N65" s="271"/>
      <c r="O65" s="1550"/>
      <c r="P65" s="1550"/>
      <c r="AH65" s="1557">
        <v>0</v>
      </c>
    </row>
    <row r="66" spans="1:34" s="1561" customFormat="1" ht="18.75" hidden="1" customHeight="1">
      <c r="A66" s="1705" t="s">
        <v>267</v>
      </c>
      <c r="B66" s="1705" t="s">
        <v>268</v>
      </c>
      <c r="C66" s="305"/>
      <c r="D66" s="5548"/>
      <c r="E66" s="5334"/>
      <c r="F66" s="5485" t="str">
        <f>INDEX(PT_DIFFERENTIATION_VTAR,MATCH(A66,PT_DIFFERENTIATION_VTAR_ID,0))</f>
        <v>Тариф на подвоз воды</v>
      </c>
      <c r="G66" s="5522" t="str">
        <f>INDEX(PT_DIFFERENTIATION_NTAR,MATCH(B66,PT_DIFFERENTIATION_NTAR_ID,0))</f>
        <v/>
      </c>
      <c r="H66" s="1786"/>
      <c r="I66" s="1664"/>
      <c r="J66" s="1698"/>
      <c r="K66" s="1789"/>
      <c r="L66" s="1786" t="s">
        <v>333</v>
      </c>
      <c r="M66" s="5282"/>
      <c r="N66" s="271"/>
      <c r="O66" s="1550"/>
      <c r="P66" s="1550"/>
      <c r="AH66" s="1557">
        <v>0</v>
      </c>
    </row>
    <row r="67" spans="1:34" s="1561" customFormat="1" ht="18.75" hidden="1" customHeight="1">
      <c r="A67" s="1705"/>
      <c r="B67" s="1705"/>
      <c r="C67" s="305" t="s">
        <v>1185</v>
      </c>
      <c r="D67" s="5548"/>
      <c r="E67" s="5334"/>
      <c r="F67" s="5485"/>
      <c r="G67" s="5522"/>
      <c r="H67" s="1426"/>
      <c r="I67" s="587" t="s">
        <v>1186</v>
      </c>
      <c r="J67" s="507"/>
      <c r="K67" s="1426"/>
      <c r="L67" s="152"/>
      <c r="M67" s="5282"/>
      <c r="N67" s="271"/>
      <c r="O67" s="1550"/>
      <c r="P67" s="1550"/>
      <c r="AH67" s="1557">
        <v>0</v>
      </c>
    </row>
    <row r="68" spans="1:34" s="1561" customFormat="1" ht="0.75" hidden="1" customHeight="1">
      <c r="A68" s="1705"/>
      <c r="B68" s="1705"/>
      <c r="C68" s="305" t="s">
        <v>1191</v>
      </c>
      <c r="D68" s="5548"/>
      <c r="E68" s="5334"/>
      <c r="F68" s="5485"/>
      <c r="G68" s="336"/>
      <c r="H68" s="1426"/>
      <c r="I68" s="587"/>
      <c r="J68" s="507"/>
      <c r="K68" s="1426"/>
      <c r="L68" s="152"/>
      <c r="M68" s="5282"/>
      <c r="N68" s="271"/>
      <c r="O68" s="1550"/>
      <c r="P68" s="1550"/>
      <c r="AH68" s="1557">
        <v>0</v>
      </c>
    </row>
    <row r="69" spans="1:34" s="1561" customFormat="1" ht="18.75" hidden="1" customHeight="1">
      <c r="A69" s="1705" t="s">
        <v>272</v>
      </c>
      <c r="B69" s="1705" t="s">
        <v>273</v>
      </c>
      <c r="C69" s="305"/>
      <c r="D69" s="5548"/>
      <c r="E69" s="5334"/>
      <c r="F69" s="5485" t="str">
        <f>INDEX(PT_DIFFERENTIATION_VTAR,MATCH(A69,PT_DIFFERENTIATION_VTAR_ID,0))</f>
        <v>Тариф на подключение (технологическое присоединение) к централизованной системе холодного водоснабжения</v>
      </c>
      <c r="G69" s="5522" t="str">
        <f>INDEX(PT_DIFFERENTIATION_NTAR,MATCH(B69,PT_DIFFERENTIATION_NTAR_ID,0))</f>
        <v/>
      </c>
      <c r="H69" s="1786"/>
      <c r="I69" s="1664"/>
      <c r="J69" s="1698"/>
      <c r="K69" s="1789"/>
      <c r="L69" s="1786" t="s">
        <v>333</v>
      </c>
      <c r="M69" s="5282"/>
      <c r="N69" s="271"/>
      <c r="O69" s="1550"/>
      <c r="P69" s="1550"/>
      <c r="AH69" s="1557">
        <v>0</v>
      </c>
    </row>
    <row r="70" spans="1:34" s="1561" customFormat="1" ht="18.75" hidden="1" customHeight="1">
      <c r="A70" s="1705"/>
      <c r="B70" s="1705"/>
      <c r="C70" s="305" t="s">
        <v>1185</v>
      </c>
      <c r="D70" s="5548"/>
      <c r="E70" s="5334"/>
      <c r="F70" s="5485"/>
      <c r="G70" s="5522"/>
      <c r="H70" s="1426"/>
      <c r="I70" s="587" t="s">
        <v>1186</v>
      </c>
      <c r="J70" s="507"/>
      <c r="K70" s="1426"/>
      <c r="L70" s="152"/>
      <c r="M70" s="5282"/>
      <c r="N70" s="271"/>
      <c r="O70" s="1550"/>
      <c r="P70" s="1550"/>
      <c r="AH70" s="1557">
        <v>0</v>
      </c>
    </row>
    <row r="71" spans="1:34" s="1561" customFormat="1" ht="0.75" hidden="1" customHeight="1">
      <c r="A71" s="1705"/>
      <c r="B71" s="1705"/>
      <c r="C71" s="305" t="s">
        <v>1191</v>
      </c>
      <c r="D71" s="5548"/>
      <c r="E71" s="5334"/>
      <c r="F71" s="5485"/>
      <c r="G71" s="336"/>
      <c r="H71" s="1426"/>
      <c r="I71" s="587"/>
      <c r="J71" s="507"/>
      <c r="K71" s="1426"/>
      <c r="L71" s="152"/>
      <c r="M71" s="5282"/>
      <c r="N71" s="271"/>
      <c r="O71" s="1550"/>
      <c r="P71" s="1550"/>
      <c r="AH71" s="1557">
        <v>0</v>
      </c>
    </row>
    <row r="72" spans="1:34" s="1561" customFormat="1" ht="18.75" hidden="1" customHeight="1">
      <c r="A72" s="1705" t="s">
        <v>277</v>
      </c>
      <c r="B72" s="1705" t="s">
        <v>278</v>
      </c>
      <c r="C72" s="305"/>
      <c r="D72" s="5548"/>
      <c r="E72" s="5334"/>
      <c r="F72" s="5485" t="str">
        <f>INDEX(PT_DIFFERENTIATION_VTAR,MATCH(A72,PT_DIFFERENTIATION_VTAR_ID,0))</f>
        <v>Тариф на горячую воду (горячее водоснабжение)</v>
      </c>
      <c r="G72" s="5522" t="str">
        <f>INDEX(PT_DIFFERENTIATION_NTAR,MATCH(B72,PT_DIFFERENTIATION_NTAR_ID,0))</f>
        <v/>
      </c>
      <c r="H72" s="1786"/>
      <c r="I72" s="1664"/>
      <c r="J72" s="1698"/>
      <c r="K72" s="1789"/>
      <c r="L72" s="1786" t="s">
        <v>333</v>
      </c>
      <c r="M72" s="5282"/>
      <c r="N72" s="271"/>
      <c r="O72" s="1550"/>
      <c r="P72" s="1550"/>
      <c r="AH72" s="1557">
        <v>0</v>
      </c>
    </row>
    <row r="73" spans="1:34" s="1561" customFormat="1" ht="18.75" hidden="1" customHeight="1">
      <c r="A73" s="1705"/>
      <c r="B73" s="1705"/>
      <c r="C73" s="305" t="s">
        <v>1185</v>
      </c>
      <c r="D73" s="5548"/>
      <c r="E73" s="5334"/>
      <c r="F73" s="5485"/>
      <c r="G73" s="5522"/>
      <c r="H73" s="1426"/>
      <c r="I73" s="587" t="s">
        <v>1186</v>
      </c>
      <c r="J73" s="507"/>
      <c r="K73" s="1426"/>
      <c r="L73" s="152"/>
      <c r="M73" s="5282"/>
      <c r="N73" s="271"/>
      <c r="O73" s="1550"/>
      <c r="P73" s="1550"/>
      <c r="AH73" s="1557">
        <v>0</v>
      </c>
    </row>
    <row r="74" spans="1:34" s="1561" customFormat="1" ht="0.75" hidden="1" customHeight="1">
      <c r="A74" s="1705"/>
      <c r="B74" s="1705"/>
      <c r="C74" s="305" t="s">
        <v>1191</v>
      </c>
      <c r="D74" s="5548"/>
      <c r="E74" s="5334"/>
      <c r="F74" s="5485"/>
      <c r="G74" s="336"/>
      <c r="H74" s="1426"/>
      <c r="I74" s="587"/>
      <c r="J74" s="507"/>
      <c r="K74" s="1426"/>
      <c r="L74" s="152"/>
      <c r="M74" s="5282"/>
      <c r="N74" s="271"/>
      <c r="O74" s="1550"/>
      <c r="P74" s="1550"/>
      <c r="AH74" s="1557">
        <v>0</v>
      </c>
    </row>
    <row r="75" spans="1:34" s="1561" customFormat="1" ht="18.75" hidden="1" customHeight="1">
      <c r="A75" s="1705" t="s">
        <v>282</v>
      </c>
      <c r="B75" s="1705" t="s">
        <v>283</v>
      </c>
      <c r="C75" s="305"/>
      <c r="D75" s="5548"/>
      <c r="E75" s="5334"/>
      <c r="F75" s="5485" t="str">
        <f>INDEX(PT_DIFFERENTIATION_VTAR,MATCH(A75,PT_DIFFERENTIATION_VTAR_ID,0))</f>
        <v>Тариф на транспортировку горячей воды</v>
      </c>
      <c r="G75" s="5522" t="str">
        <f>INDEX(PT_DIFFERENTIATION_NTAR,MATCH(B75,PT_DIFFERENTIATION_NTAR_ID,0))</f>
        <v/>
      </c>
      <c r="H75" s="1786"/>
      <c r="I75" s="1664"/>
      <c r="J75" s="1698"/>
      <c r="K75" s="1789"/>
      <c r="L75" s="1786" t="s">
        <v>333</v>
      </c>
      <c r="M75" s="5282"/>
      <c r="N75" s="271"/>
      <c r="O75" s="1550"/>
      <c r="P75" s="1550"/>
      <c r="AH75" s="1557">
        <v>0</v>
      </c>
    </row>
    <row r="76" spans="1:34" s="1561" customFormat="1" ht="18.75" hidden="1" customHeight="1">
      <c r="A76" s="1705"/>
      <c r="B76" s="1705"/>
      <c r="C76" s="305" t="s">
        <v>1185</v>
      </c>
      <c r="D76" s="5548"/>
      <c r="E76" s="5334"/>
      <c r="F76" s="5485"/>
      <c r="G76" s="5522"/>
      <c r="H76" s="1426"/>
      <c r="I76" s="587" t="s">
        <v>1186</v>
      </c>
      <c r="J76" s="507"/>
      <c r="K76" s="1426"/>
      <c r="L76" s="152"/>
      <c r="M76" s="5282"/>
      <c r="N76" s="271"/>
      <c r="O76" s="1550"/>
      <c r="P76" s="1550"/>
      <c r="AH76" s="1557">
        <v>0</v>
      </c>
    </row>
    <row r="77" spans="1:34" s="1561" customFormat="1" ht="0.75" hidden="1" customHeight="1">
      <c r="A77" s="1705"/>
      <c r="B77" s="1705"/>
      <c r="C77" s="305" t="s">
        <v>1191</v>
      </c>
      <c r="D77" s="5548"/>
      <c r="E77" s="5334"/>
      <c r="F77" s="5485"/>
      <c r="G77" s="336"/>
      <c r="H77" s="1426"/>
      <c r="I77" s="587"/>
      <c r="J77" s="507"/>
      <c r="K77" s="1426"/>
      <c r="L77" s="152"/>
      <c r="M77" s="5282"/>
      <c r="N77" s="271"/>
      <c r="O77" s="1550"/>
      <c r="P77" s="1550"/>
      <c r="AH77" s="1557">
        <v>0</v>
      </c>
    </row>
    <row r="78" spans="1:34" s="1561" customFormat="1" ht="18.75" hidden="1" customHeight="1">
      <c r="A78" s="1705" t="s">
        <v>287</v>
      </c>
      <c r="B78" s="1705" t="s">
        <v>288</v>
      </c>
      <c r="C78" s="305"/>
      <c r="D78" s="5548"/>
      <c r="E78" s="5334"/>
      <c r="F78" s="5485" t="str">
        <f>INDEX(PT_DIFFERENTIATION_VTAR,MATCH(A78,PT_DIFFERENTIATION_VTAR_ID,0))</f>
        <v>Тариф на подключение (технологическое присоединение) к централизованной системе горячего водоснабжения</v>
      </c>
      <c r="G78" s="5522" t="str">
        <f>INDEX(PT_DIFFERENTIATION_NTAR,MATCH(B78,PT_DIFFERENTIATION_NTAR_ID,0))</f>
        <v/>
      </c>
      <c r="H78" s="1786"/>
      <c r="I78" s="1664"/>
      <c r="J78" s="1698"/>
      <c r="K78" s="1789"/>
      <c r="L78" s="1786" t="s">
        <v>333</v>
      </c>
      <c r="M78" s="5282"/>
      <c r="N78" s="271"/>
      <c r="O78" s="1550"/>
      <c r="P78" s="1550"/>
      <c r="AH78" s="1557">
        <v>0</v>
      </c>
    </row>
    <row r="79" spans="1:34" s="1561" customFormat="1" ht="18.75" hidden="1" customHeight="1">
      <c r="A79" s="1705"/>
      <c r="B79" s="1705"/>
      <c r="C79" s="305" t="s">
        <v>1185</v>
      </c>
      <c r="D79" s="5548"/>
      <c r="E79" s="5334"/>
      <c r="F79" s="5485"/>
      <c r="G79" s="5522"/>
      <c r="H79" s="1426"/>
      <c r="I79" s="587" t="s">
        <v>1186</v>
      </c>
      <c r="J79" s="507"/>
      <c r="K79" s="1426"/>
      <c r="L79" s="152"/>
      <c r="M79" s="5282"/>
      <c r="N79" s="271"/>
      <c r="O79" s="1550"/>
      <c r="P79" s="1550"/>
      <c r="AH79" s="1557">
        <v>0</v>
      </c>
    </row>
    <row r="80" spans="1:34" s="1561" customFormat="1" ht="0.75" hidden="1" customHeight="1">
      <c r="A80" s="1705"/>
      <c r="B80" s="1705"/>
      <c r="C80" s="305" t="s">
        <v>1191</v>
      </c>
      <c r="D80" s="5548"/>
      <c r="E80" s="5334"/>
      <c r="F80" s="5485"/>
      <c r="G80" s="336"/>
      <c r="H80" s="1426"/>
      <c r="I80" s="587"/>
      <c r="J80" s="507"/>
      <c r="K80" s="1426"/>
      <c r="L80" s="152"/>
      <c r="M80" s="5282"/>
      <c r="N80" s="271"/>
      <c r="O80" s="1550"/>
      <c r="P80" s="1550"/>
      <c r="AH80" s="1557">
        <v>0</v>
      </c>
    </row>
    <row r="81" spans="1:34" s="1561" customFormat="1" ht="18.75" hidden="1" customHeight="1">
      <c r="A81" s="1705" t="s">
        <v>292</v>
      </c>
      <c r="B81" s="1705" t="s">
        <v>293</v>
      </c>
      <c r="C81" s="305"/>
      <c r="D81" s="5548"/>
      <c r="E81" s="5334"/>
      <c r="F81" s="5485" t="str">
        <f>INDEX(PT_DIFFERENTIATION_VTAR,MATCH(A81,PT_DIFFERENTIATION_VTAR_ID,0))</f>
        <v>Тариф на водоотведение</v>
      </c>
      <c r="G81" s="5522" t="str">
        <f>INDEX(PT_DIFFERENTIATION_NTAR,MATCH(B81,PT_DIFFERENTIATION_NTAR_ID,0))</f>
        <v/>
      </c>
      <c r="H81" s="1786"/>
      <c r="I81" s="1664"/>
      <c r="J81" s="1698"/>
      <c r="K81" s="1789"/>
      <c r="L81" s="1786" t="s">
        <v>333</v>
      </c>
      <c r="M81" s="5282"/>
      <c r="N81" s="271"/>
      <c r="O81" s="1550"/>
      <c r="P81" s="1550"/>
      <c r="AH81" s="1557">
        <v>0</v>
      </c>
    </row>
    <row r="82" spans="1:34" s="1561" customFormat="1" ht="18.75" hidden="1" customHeight="1">
      <c r="A82" s="1705"/>
      <c r="B82" s="1705"/>
      <c r="C82" s="305" t="s">
        <v>1185</v>
      </c>
      <c r="D82" s="5548"/>
      <c r="E82" s="5334"/>
      <c r="F82" s="5485"/>
      <c r="G82" s="5522"/>
      <c r="H82" s="1426"/>
      <c r="I82" s="587" t="s">
        <v>1186</v>
      </c>
      <c r="J82" s="507"/>
      <c r="K82" s="1426"/>
      <c r="L82" s="152"/>
      <c r="M82" s="5282"/>
      <c r="N82" s="271"/>
      <c r="O82" s="1550"/>
      <c r="P82" s="1550"/>
      <c r="AH82" s="1557">
        <v>0</v>
      </c>
    </row>
    <row r="83" spans="1:34" s="1561" customFormat="1" ht="0.75" hidden="1" customHeight="1">
      <c r="A83" s="1705"/>
      <c r="B83" s="1705"/>
      <c r="C83" s="305" t="s">
        <v>1191</v>
      </c>
      <c r="D83" s="5548"/>
      <c r="E83" s="5334"/>
      <c r="F83" s="5485"/>
      <c r="G83" s="336"/>
      <c r="H83" s="1426"/>
      <c r="I83" s="587"/>
      <c r="J83" s="507"/>
      <c r="K83" s="1426"/>
      <c r="L83" s="152"/>
      <c r="M83" s="5282"/>
      <c r="N83" s="271"/>
      <c r="O83" s="1550"/>
      <c r="P83" s="1550"/>
      <c r="AH83" s="1557">
        <v>0</v>
      </c>
    </row>
    <row r="84" spans="1:34" s="1561" customFormat="1" ht="18.75" hidden="1" customHeight="1">
      <c r="A84" s="1705" t="s">
        <v>297</v>
      </c>
      <c r="B84" s="1705" t="s">
        <v>298</v>
      </c>
      <c r="C84" s="305"/>
      <c r="D84" s="5548"/>
      <c r="E84" s="5334"/>
      <c r="F84" s="5485" t="str">
        <f>INDEX(PT_DIFFERENTIATION_VTAR,MATCH(A84,PT_DIFFERENTIATION_VTAR_ID,0))</f>
        <v>Тариф на транспортировку сточных вод</v>
      </c>
      <c r="G84" s="5522" t="str">
        <f>INDEX(PT_DIFFERENTIATION_NTAR,MATCH(B84,PT_DIFFERENTIATION_NTAR_ID,0))</f>
        <v/>
      </c>
      <c r="H84" s="1786"/>
      <c r="I84" s="1664"/>
      <c r="J84" s="1698"/>
      <c r="K84" s="1789"/>
      <c r="L84" s="1786" t="s">
        <v>333</v>
      </c>
      <c r="M84" s="5282"/>
      <c r="N84" s="271"/>
      <c r="O84" s="1550"/>
      <c r="P84" s="1550"/>
      <c r="AH84" s="1557">
        <v>0</v>
      </c>
    </row>
    <row r="85" spans="1:34" s="1561" customFormat="1" ht="18.75" hidden="1" customHeight="1">
      <c r="A85" s="1705"/>
      <c r="B85" s="1705"/>
      <c r="C85" s="305" t="s">
        <v>1185</v>
      </c>
      <c r="D85" s="5548"/>
      <c r="E85" s="5334"/>
      <c r="F85" s="5485"/>
      <c r="G85" s="5522"/>
      <c r="H85" s="1426"/>
      <c r="I85" s="587" t="s">
        <v>1186</v>
      </c>
      <c r="J85" s="507"/>
      <c r="K85" s="1426"/>
      <c r="L85" s="152"/>
      <c r="M85" s="5282"/>
      <c r="N85" s="271"/>
      <c r="O85" s="1550"/>
      <c r="P85" s="1550"/>
      <c r="AH85" s="1557">
        <v>0</v>
      </c>
    </row>
    <row r="86" spans="1:34" s="1561" customFormat="1" ht="0.75" hidden="1" customHeight="1">
      <c r="A86" s="1705"/>
      <c r="B86" s="1705"/>
      <c r="C86" s="305" t="s">
        <v>1191</v>
      </c>
      <c r="D86" s="5548"/>
      <c r="E86" s="5334"/>
      <c r="F86" s="5485"/>
      <c r="G86" s="336"/>
      <c r="H86" s="1426"/>
      <c r="I86" s="587"/>
      <c r="J86" s="507"/>
      <c r="K86" s="1426"/>
      <c r="L86" s="152"/>
      <c r="M86" s="5282"/>
      <c r="N86" s="271"/>
      <c r="O86" s="1550"/>
      <c r="P86" s="1550"/>
      <c r="AH86" s="1557">
        <v>0</v>
      </c>
    </row>
    <row r="87" spans="1:34" s="1561" customFormat="1" ht="18.75" hidden="1" customHeight="1">
      <c r="A87" s="1705" t="s">
        <v>302</v>
      </c>
      <c r="B87" s="1705" t="s">
        <v>303</v>
      </c>
      <c r="C87" s="305"/>
      <c r="D87" s="5548"/>
      <c r="E87" s="5334"/>
      <c r="F87" s="5485" t="str">
        <f>INDEX(PT_DIFFERENTIATION_VTAR,MATCH(A87,PT_DIFFERENTIATION_VTAR_ID,0))</f>
        <v>Тариф на подключение (технологическое присоединение) к централизованной системе водоотведения</v>
      </c>
      <c r="G87" s="5522" t="str">
        <f>INDEX(PT_DIFFERENTIATION_NTAR,MATCH(B87,PT_DIFFERENTIATION_NTAR_ID,0))</f>
        <v/>
      </c>
      <c r="H87" s="1786"/>
      <c r="I87" s="1664"/>
      <c r="J87" s="1698"/>
      <c r="K87" s="1789"/>
      <c r="L87" s="1786" t="s">
        <v>333</v>
      </c>
      <c r="M87" s="5282"/>
      <c r="N87" s="271"/>
      <c r="O87" s="1550"/>
      <c r="P87" s="1550"/>
      <c r="AH87" s="1557">
        <v>0</v>
      </c>
    </row>
    <row r="88" spans="1:34" s="1561" customFormat="1" ht="18.75" hidden="1" customHeight="1">
      <c r="A88" s="1705"/>
      <c r="B88" s="1705"/>
      <c r="C88" s="305" t="s">
        <v>1185</v>
      </c>
      <c r="D88" s="5548"/>
      <c r="E88" s="5334"/>
      <c r="F88" s="5485"/>
      <c r="G88" s="5522"/>
      <c r="H88" s="1426"/>
      <c r="I88" s="587" t="s">
        <v>1186</v>
      </c>
      <c r="J88" s="507"/>
      <c r="K88" s="1426"/>
      <c r="L88" s="152"/>
      <c r="M88" s="5282"/>
      <c r="N88" s="271"/>
      <c r="O88" s="1550"/>
      <c r="P88" s="1550"/>
      <c r="AH88" s="1557">
        <v>0</v>
      </c>
    </row>
    <row r="89" spans="1:34" s="1561" customFormat="1" ht="1.1499999999999999" customHeight="1">
      <c r="A89" s="1705"/>
      <c r="B89" s="1705"/>
      <c r="C89" s="305" t="s">
        <v>1191</v>
      </c>
      <c r="D89" s="5548"/>
      <c r="E89" s="5334"/>
      <c r="F89" s="5485"/>
      <c r="G89" s="336"/>
      <c r="H89" s="1426"/>
      <c r="I89" s="587"/>
      <c r="J89" s="507"/>
      <c r="K89" s="1426"/>
      <c r="L89" s="152"/>
      <c r="M89" s="5282"/>
      <c r="N89" s="271"/>
      <c r="O89" s="1550"/>
      <c r="P89" s="1550"/>
      <c r="AH89" s="1557">
        <v>1</v>
      </c>
    </row>
    <row r="90" spans="1:34" ht="19.899999999999999" customHeight="1">
      <c r="A90" s="1705"/>
      <c r="B90" s="1705"/>
      <c r="D90" s="312"/>
      <c r="E90" s="85" t="s">
        <v>112</v>
      </c>
      <c r="F90" s="554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90" s="5546"/>
      <c r="H90" s="5546"/>
      <c r="I90" s="5546"/>
      <c r="J90" s="5546"/>
      <c r="K90" s="5546"/>
      <c r="L90" s="5546"/>
      <c r="M90" s="234"/>
      <c r="N90" s="271"/>
      <c r="AH90" s="310">
        <v>19</v>
      </c>
    </row>
    <row r="91" spans="1:34" ht="35.65" customHeight="1">
      <c r="A91" s="1705"/>
      <c r="B91" s="1705"/>
      <c r="D91" s="312"/>
      <c r="E91" s="335"/>
      <c r="F91" s="136" t="s">
        <v>333</v>
      </c>
      <c r="G91" s="136" t="s">
        <v>333</v>
      </c>
      <c r="H91" s="5344" t="s">
        <v>333</v>
      </c>
      <c r="I91" s="5358"/>
      <c r="J91" s="136" t="s">
        <v>333</v>
      </c>
      <c r="K91" s="136" t="s">
        <v>333</v>
      </c>
      <c r="L91" s="337"/>
      <c r="M91" s="282" t="s">
        <v>1192</v>
      </c>
      <c r="N91" s="271"/>
      <c r="AH91" s="310">
        <v>34</v>
      </c>
    </row>
    <row r="92" spans="1:34" ht="19.899999999999999" customHeight="1">
      <c r="A92" s="1705"/>
      <c r="B92" s="1705"/>
      <c r="D92" s="312"/>
      <c r="E92" s="85" t="s">
        <v>92</v>
      </c>
      <c r="F92" s="5546" t="s">
        <v>1193</v>
      </c>
      <c r="G92" s="5546"/>
      <c r="H92" s="5546"/>
      <c r="I92" s="5546"/>
      <c r="J92" s="5546"/>
      <c r="K92" s="5546"/>
      <c r="L92" s="5546"/>
      <c r="M92" s="234"/>
      <c r="N92" s="271"/>
      <c r="AH92" s="310">
        <v>19</v>
      </c>
    </row>
    <row r="93" spans="1:34" s="1561" customFormat="1" ht="60.75" hidden="1" customHeight="1">
      <c r="A93" s="1705" t="s">
        <v>158</v>
      </c>
      <c r="B93" s="1705" t="s">
        <v>159</v>
      </c>
      <c r="C93" s="305"/>
      <c r="D93" s="5548"/>
      <c r="E93" s="5334"/>
      <c r="F93" s="5485" t="str">
        <f>INDEX(PT_DIFFERENTIATION_VTAR,MATCH(A93,PT_DIFFERENTIATION_VTAR_ID,0))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3" s="5522" t="str">
        <f>INDEX(PT_DIFFERENTIATION_NTAR,MATCH(B93,PT_DIFFERENTIATION_NTAR_ID,0))</f>
        <v>Тариф на тепловую энергию, поставляемую ПАО "ТГК-1" потребителям, расположенным на территории Санкт-Петербурга</v>
      </c>
      <c r="H93" s="1786"/>
      <c r="I93" s="1664"/>
      <c r="J93" s="1698"/>
      <c r="K93" s="1703"/>
      <c r="L93" s="1786" t="s">
        <v>333</v>
      </c>
      <c r="M93" s="52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3" s="271"/>
      <c r="O93" s="1550"/>
      <c r="P93" s="1550"/>
      <c r="AH93" s="1557">
        <v>0</v>
      </c>
    </row>
    <row r="94" spans="1:34" s="1561" customFormat="1" ht="18.75" hidden="1" customHeight="1">
      <c r="A94" s="1705"/>
      <c r="B94" s="1705"/>
      <c r="C94" s="305" t="s">
        <v>1187</v>
      </c>
      <c r="D94" s="5548"/>
      <c r="E94" s="5334"/>
      <c r="F94" s="5485"/>
      <c r="G94" s="5522"/>
      <c r="H94" s="1426"/>
      <c r="I94" s="587" t="s">
        <v>1186</v>
      </c>
      <c r="J94" s="507"/>
      <c r="K94" s="1426"/>
      <c r="L94" s="152"/>
      <c r="M94" s="5282"/>
      <c r="N94" s="271"/>
      <c r="O94" s="1550"/>
      <c r="P94" s="1550"/>
      <c r="AH94" s="1557">
        <v>0</v>
      </c>
    </row>
    <row r="95" spans="1:34" s="1561" customFormat="1" ht="18.75" customHeight="1">
      <c r="A95" s="1747" t="s">
        <v>158</v>
      </c>
      <c r="B95" s="1747" t="s">
        <v>168</v>
      </c>
      <c r="C95" s="1613"/>
      <c r="D95" s="5551"/>
      <c r="E95" s="5555"/>
      <c r="F95" s="5555"/>
      <c r="G95" s="5522" t="str">
        <f>INDEX(PT_DIFFERENTIATION_NTAR,MATCH(B95,PT_DIFFERENTIATION_NTAR_ID,0))</f>
        <v>Тариф на тепловую энергию, поставляемую ПАО "ТГК-1" на коллекторах источников тепловой энергии потребителям, расположенным на территории Санкт-Петербурга</v>
      </c>
      <c r="H95" s="2010"/>
      <c r="I95" s="1664"/>
      <c r="J95" s="1698"/>
      <c r="K95" s="1703"/>
      <c r="L95" s="2010" t="s">
        <v>333</v>
      </c>
      <c r="M95" s="5431"/>
      <c r="N95" s="554"/>
      <c r="O95" s="1550"/>
      <c r="P95" s="1550"/>
      <c r="AH95" s="1561">
        <v>0</v>
      </c>
    </row>
    <row r="96" spans="1:34" s="1561" customFormat="1" ht="18.75" customHeight="1">
      <c r="A96" s="1747"/>
      <c r="B96" s="1747"/>
      <c r="C96" s="1613" t="s">
        <v>1187</v>
      </c>
      <c r="D96" s="5551"/>
      <c r="E96" s="5555"/>
      <c r="F96" s="5555"/>
      <c r="G96" s="5522"/>
      <c r="H96" s="2405"/>
      <c r="I96" s="2406" t="s">
        <v>1186</v>
      </c>
      <c r="J96" s="2407"/>
      <c r="K96" s="2408"/>
      <c r="L96" s="2409"/>
      <c r="M96" s="5431"/>
      <c r="N96" s="554"/>
      <c r="O96" s="1550"/>
      <c r="P96" s="1550"/>
      <c r="AH96" s="1561">
        <v>0</v>
      </c>
    </row>
    <row r="97" spans="1:34" s="1561" customFormat="1" ht="18.75" customHeight="1">
      <c r="A97" s="1747" t="s">
        <v>158</v>
      </c>
      <c r="B97" s="1747" t="s">
        <v>173</v>
      </c>
      <c r="C97" s="1613"/>
      <c r="D97" s="5551"/>
      <c r="E97" s="5555"/>
      <c r="F97" s="5555"/>
      <c r="G97" s="5522" t="str">
        <f>INDEX(PT_DIFFERENTIATION_NTAR,MATCH(B97,PT_DIFFERENTIATION_NTAR_ID,0))</f>
        <v>Тариф на тепловую энергию (мощность), поставляемую ПАО "ТГК-1" теплоснабжающим, теплосетевым организациям, приобретающим тепловую энергию с целью компенсации потерь тепловой энергии</v>
      </c>
      <c r="H97" s="2010"/>
      <c r="I97" s="1664"/>
      <c r="J97" s="1698"/>
      <c r="K97" s="1703"/>
      <c r="L97" s="2010" t="s">
        <v>333</v>
      </c>
      <c r="M97" s="5431"/>
      <c r="N97" s="554"/>
      <c r="O97" s="1550"/>
      <c r="P97" s="1550"/>
      <c r="AH97" s="1561">
        <v>0</v>
      </c>
    </row>
    <row r="98" spans="1:34" s="1561" customFormat="1" ht="18.75" customHeight="1">
      <c r="A98" s="1747"/>
      <c r="B98" s="1747"/>
      <c r="C98" s="1613" t="s">
        <v>1187</v>
      </c>
      <c r="D98" s="5551"/>
      <c r="E98" s="5555"/>
      <c r="F98" s="5555"/>
      <c r="G98" s="5522"/>
      <c r="H98" s="2410"/>
      <c r="I98" s="2411" t="s">
        <v>1186</v>
      </c>
      <c r="J98" s="2412"/>
      <c r="K98" s="2413"/>
      <c r="L98" s="2414"/>
      <c r="M98" s="5431"/>
      <c r="N98" s="554"/>
      <c r="O98" s="1550"/>
      <c r="P98" s="1550"/>
      <c r="AH98" s="1561">
        <v>0</v>
      </c>
    </row>
    <row r="99" spans="1:34" s="1561" customFormat="1" ht="18.75" customHeight="1">
      <c r="A99" s="1747" t="s">
        <v>158</v>
      </c>
      <c r="B99" s="1747" t="s">
        <v>178</v>
      </c>
      <c r="C99" s="1613"/>
      <c r="D99" s="5551"/>
      <c r="E99" s="5555"/>
      <c r="F99" s="5555"/>
      <c r="G99" s="5522" t="str">
        <f>INDEX(PT_DIFFERENTIATION_NTAR,MATCH(B99,PT_DIFFERENTIATION_NTAR_ID,0))</f>
        <v>Льготные тарифы на тепловую энергию, поставляемую ПАО "ТГК-1" потребителям, расположенным на территории Санкт-Петербурга</v>
      </c>
      <c r="H99" s="2010"/>
      <c r="I99" s="1664"/>
      <c r="J99" s="1698"/>
      <c r="K99" s="1703"/>
      <c r="L99" s="2010" t="s">
        <v>333</v>
      </c>
      <c r="M99" s="5431"/>
      <c r="N99" s="554"/>
      <c r="O99" s="1550"/>
      <c r="P99" s="1550"/>
      <c r="AH99" s="1561">
        <v>0</v>
      </c>
    </row>
    <row r="100" spans="1:34" s="1561" customFormat="1" ht="18.75" customHeight="1">
      <c r="A100" s="1747"/>
      <c r="B100" s="1747"/>
      <c r="C100" s="1613" t="s">
        <v>1187</v>
      </c>
      <c r="D100" s="5551"/>
      <c r="E100" s="5555"/>
      <c r="F100" s="5555"/>
      <c r="G100" s="5522"/>
      <c r="H100" s="2415"/>
      <c r="I100" s="2416" t="s">
        <v>1186</v>
      </c>
      <c r="J100" s="2417"/>
      <c r="K100" s="2418"/>
      <c r="L100" s="2419"/>
      <c r="M100" s="5431"/>
      <c r="N100" s="554"/>
      <c r="O100" s="1550"/>
      <c r="P100" s="1550"/>
      <c r="AH100" s="1561">
        <v>0</v>
      </c>
    </row>
    <row r="101" spans="1:34" s="1561" customFormat="1" ht="0.75" hidden="1" customHeight="1">
      <c r="A101" s="1705"/>
      <c r="B101" s="1705"/>
      <c r="C101" s="305" t="s">
        <v>1194</v>
      </c>
      <c r="D101" s="5548"/>
      <c r="E101" s="5334"/>
      <c r="F101" s="5485"/>
      <c r="G101" s="336"/>
      <c r="H101" s="1426"/>
      <c r="I101" s="587"/>
      <c r="J101" s="507"/>
      <c r="K101" s="1426"/>
      <c r="L101" s="152"/>
      <c r="M101" s="5282"/>
      <c r="N101" s="271"/>
      <c r="O101" s="1550"/>
      <c r="P101" s="1550"/>
      <c r="AH101" s="1557">
        <v>0</v>
      </c>
    </row>
    <row r="102" spans="1:34" s="1561" customFormat="1" ht="45" hidden="1" customHeight="1">
      <c r="A102" s="1705" t="s">
        <v>184</v>
      </c>
      <c r="B102" s="1705" t="s">
        <v>185</v>
      </c>
      <c r="C102" s="305"/>
      <c r="D102" s="5548"/>
      <c r="E102" s="5334"/>
      <c r="F102" s="5485" t="str">
        <f>INDEX(PT_DIFFERENTIATION_VTAR,MATCH(A102,PT_DIFFERENTIATION_VTAR_ID,0))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02" s="5522" t="str">
        <f>INDEX(PT_DIFFERENTIATION_NTAR,MATCH(B102,PT_DIFFERENTIATION_NTAR_ID,0))</f>
        <v/>
      </c>
      <c r="H102" s="1786"/>
      <c r="I102" s="1664"/>
      <c r="J102" s="1698"/>
      <c r="K102" s="1703"/>
      <c r="L102" s="1786" t="s">
        <v>333</v>
      </c>
      <c r="M102" s="5283"/>
      <c r="N102" s="271"/>
      <c r="O102" s="1550"/>
      <c r="P102" s="1550"/>
      <c r="AH102" s="1557">
        <v>0</v>
      </c>
    </row>
    <row r="103" spans="1:34" s="1561" customFormat="1" ht="18.75" hidden="1" customHeight="1">
      <c r="A103" s="1705"/>
      <c r="B103" s="1705"/>
      <c r="C103" s="305" t="s">
        <v>1187</v>
      </c>
      <c r="D103" s="5548"/>
      <c r="E103" s="5334"/>
      <c r="F103" s="5485"/>
      <c r="G103" s="5522"/>
      <c r="H103" s="1426"/>
      <c r="I103" s="587" t="s">
        <v>1186</v>
      </c>
      <c r="J103" s="507"/>
      <c r="K103" s="1426"/>
      <c r="L103" s="152"/>
      <c r="M103" s="1785"/>
      <c r="N103" s="271"/>
      <c r="O103" s="1550"/>
      <c r="P103" s="1550"/>
      <c r="AH103" s="1557">
        <v>0</v>
      </c>
    </row>
    <row r="104" spans="1:34" s="1561" customFormat="1" ht="0.75" hidden="1" customHeight="1">
      <c r="A104" s="1705"/>
      <c r="B104" s="1705"/>
      <c r="C104" s="305" t="s">
        <v>1194</v>
      </c>
      <c r="D104" s="5548"/>
      <c r="E104" s="5334"/>
      <c r="F104" s="5485"/>
      <c r="G104" s="336"/>
      <c r="H104" s="1426"/>
      <c r="I104" s="587"/>
      <c r="J104" s="507"/>
      <c r="K104" s="1426"/>
      <c r="L104" s="152"/>
      <c r="M104" s="278"/>
      <c r="N104" s="271"/>
      <c r="O104" s="1550"/>
      <c r="P104" s="1550"/>
      <c r="AH104" s="1557">
        <v>0</v>
      </c>
    </row>
    <row r="105" spans="1:34" s="1561" customFormat="1" ht="45" hidden="1" customHeight="1">
      <c r="A105" s="1705" t="s">
        <v>192</v>
      </c>
      <c r="B105" s="1705" t="s">
        <v>193</v>
      </c>
      <c r="C105" s="305"/>
      <c r="D105" s="5548"/>
      <c r="E105" s="5334"/>
      <c r="F105" s="5485" t="str">
        <f>INDEX(PT_DIFFERENTIATION_VTAR,MATCH(A105,PT_DIFFERENTIATION_VTAR_ID,0))</f>
        <v>Тарифы на теплоноситель, поставляемый теплоснабжающими организациями потребителям, другим теплоснабжающим организациям</v>
      </c>
      <c r="G105" s="5522" t="str">
        <f>INDEX(PT_DIFFERENTIATION_NTAR,MATCH(B105,PT_DIFFERENTIATION_NTAR_ID,0))</f>
        <v>Тариф на теплоноситель, поставляемый ПАО "ТГК-1" потребителям, расположенным на территории Санкт-Петербурга</v>
      </c>
      <c r="H105" s="1786"/>
      <c r="I105" s="1664"/>
      <c r="J105" s="1698"/>
      <c r="K105" s="1703"/>
      <c r="L105" s="1786" t="s">
        <v>333</v>
      </c>
      <c r="M105" s="278"/>
      <c r="N105" s="271"/>
      <c r="O105" s="1550"/>
      <c r="P105" s="1550"/>
      <c r="AH105" s="1557">
        <v>0</v>
      </c>
    </row>
    <row r="106" spans="1:34" s="1561" customFormat="1" ht="18.75" hidden="1" customHeight="1">
      <c r="A106" s="1705"/>
      <c r="B106" s="1705"/>
      <c r="C106" s="305" t="s">
        <v>1187</v>
      </c>
      <c r="D106" s="5548"/>
      <c r="E106" s="5334"/>
      <c r="F106" s="5485"/>
      <c r="G106" s="5522"/>
      <c r="H106" s="1426"/>
      <c r="I106" s="587" t="s">
        <v>1186</v>
      </c>
      <c r="J106" s="507"/>
      <c r="K106" s="1426"/>
      <c r="L106" s="152"/>
      <c r="M106" s="278"/>
      <c r="N106" s="271"/>
      <c r="O106" s="1550"/>
      <c r="P106" s="1550"/>
      <c r="AH106" s="1557">
        <v>0</v>
      </c>
    </row>
    <row r="107" spans="1:34" s="1561" customFormat="1" ht="0.75" hidden="1" customHeight="1">
      <c r="A107" s="1705"/>
      <c r="B107" s="1705"/>
      <c r="C107" s="305" t="s">
        <v>1194</v>
      </c>
      <c r="D107" s="5548"/>
      <c r="E107" s="5334"/>
      <c r="F107" s="5485"/>
      <c r="G107" s="336"/>
      <c r="H107" s="1426"/>
      <c r="I107" s="587"/>
      <c r="J107" s="507"/>
      <c r="K107" s="1426"/>
      <c r="L107" s="152"/>
      <c r="M107" s="278"/>
      <c r="N107" s="271"/>
      <c r="O107" s="1550"/>
      <c r="P107" s="1550"/>
      <c r="AH107" s="1557">
        <v>0</v>
      </c>
    </row>
    <row r="108" spans="1:34" s="1561" customFormat="1" ht="45" hidden="1" customHeight="1">
      <c r="A108" s="1705" t="s">
        <v>200</v>
      </c>
      <c r="B108" s="1705" t="s">
        <v>201</v>
      </c>
      <c r="C108" s="305"/>
      <c r="D108" s="5548"/>
      <c r="E108" s="5334"/>
      <c r="F108" s="5485" t="str">
        <f>INDEX(PT_DIFFERENTIATION_VTAR,MATCH(A108,PT_DIFFERENTIATION_VTAR_ID,0))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8" s="5522" t="str">
        <f>INDEX(PT_DIFFERENTIATION_NTAR,MATCH(B108,PT_DIFFERENTIATION_NTAR_ID,0))</f>
        <v>Тариф на горячую воду (горячее водоснабжение), поставляемую ПАО "ТГК-1" в открытых системах теплоснабжения потребителям, расположенным на территории Санкт-Петербурга</v>
      </c>
      <c r="H108" s="1786"/>
      <c r="I108" s="1664"/>
      <c r="J108" s="1698"/>
      <c r="K108" s="1703"/>
      <c r="L108" s="1786" t="s">
        <v>333</v>
      </c>
      <c r="M108" s="278"/>
      <c r="N108" s="271"/>
      <c r="O108" s="1550"/>
      <c r="P108" s="1550"/>
      <c r="AH108" s="1557">
        <v>0</v>
      </c>
    </row>
    <row r="109" spans="1:34" s="1561" customFormat="1" ht="18.75" hidden="1" customHeight="1">
      <c r="A109" s="1705"/>
      <c r="B109" s="1705"/>
      <c r="C109" s="305" t="s">
        <v>1187</v>
      </c>
      <c r="D109" s="5548"/>
      <c r="E109" s="5334"/>
      <c r="F109" s="5485"/>
      <c r="G109" s="5522"/>
      <c r="H109" s="1426"/>
      <c r="I109" s="587" t="s">
        <v>1186</v>
      </c>
      <c r="J109" s="507"/>
      <c r="K109" s="1426"/>
      <c r="L109" s="152"/>
      <c r="M109" s="278"/>
      <c r="N109" s="271"/>
      <c r="O109" s="1550"/>
      <c r="P109" s="1550"/>
      <c r="AH109" s="1557">
        <v>0</v>
      </c>
    </row>
    <row r="110" spans="1:34" s="1561" customFormat="1" ht="0.75" hidden="1" customHeight="1">
      <c r="A110" s="1705"/>
      <c r="B110" s="1705"/>
      <c r="C110" s="305" t="s">
        <v>1194</v>
      </c>
      <c r="D110" s="5548"/>
      <c r="E110" s="5334"/>
      <c r="F110" s="5485"/>
      <c r="G110" s="336"/>
      <c r="H110" s="1426"/>
      <c r="I110" s="587"/>
      <c r="J110" s="507"/>
      <c r="K110" s="1426"/>
      <c r="L110" s="152"/>
      <c r="M110" s="278"/>
      <c r="N110" s="271"/>
      <c r="O110" s="1550"/>
      <c r="P110" s="1550"/>
      <c r="AH110" s="1557">
        <v>0</v>
      </c>
    </row>
    <row r="111" spans="1:34" s="1561" customFormat="1" ht="18.75" hidden="1" customHeight="1">
      <c r="A111" s="1705" t="s">
        <v>206</v>
      </c>
      <c r="B111" s="1705" t="s">
        <v>207</v>
      </c>
      <c r="C111" s="305"/>
      <c r="D111" s="5548"/>
      <c r="E111" s="5334"/>
      <c r="F111" s="5485" t="str">
        <f>INDEX(PT_DIFFERENTIATION_VTAR,MATCH(A111,PT_DIFFERENTIATION_VTAR_ID,0))</f>
        <v>Тарифы на услуги по передаче тепловой энергии</v>
      </c>
      <c r="G111" s="5522" t="str">
        <f>INDEX(PT_DIFFERENTIATION_NTAR,MATCH(B111,PT_DIFFERENTIATION_NTAR_ID,0))</f>
        <v/>
      </c>
      <c r="H111" s="1786"/>
      <c r="I111" s="1664"/>
      <c r="J111" s="1698"/>
      <c r="K111" s="1703"/>
      <c r="L111" s="1786" t="s">
        <v>333</v>
      </c>
      <c r="M111" s="278"/>
      <c r="N111" s="271"/>
      <c r="O111" s="1550"/>
      <c r="P111" s="1550"/>
      <c r="AH111" s="1557">
        <v>0</v>
      </c>
    </row>
    <row r="112" spans="1:34" s="1561" customFormat="1" ht="18.75" hidden="1" customHeight="1">
      <c r="A112" s="1705"/>
      <c r="B112" s="1705"/>
      <c r="C112" s="305" t="s">
        <v>1187</v>
      </c>
      <c r="D112" s="5548"/>
      <c r="E112" s="5334"/>
      <c r="F112" s="5485"/>
      <c r="G112" s="5522"/>
      <c r="H112" s="1426"/>
      <c r="I112" s="587" t="s">
        <v>1186</v>
      </c>
      <c r="J112" s="507"/>
      <c r="K112" s="1426"/>
      <c r="L112" s="152"/>
      <c r="M112" s="278"/>
      <c r="N112" s="271"/>
      <c r="O112" s="1550"/>
      <c r="P112" s="1550"/>
      <c r="AH112" s="1557">
        <v>0</v>
      </c>
    </row>
    <row r="113" spans="1:34" s="1561" customFormat="1" ht="0.75" hidden="1" customHeight="1">
      <c r="A113" s="1705"/>
      <c r="B113" s="1705"/>
      <c r="C113" s="305" t="s">
        <v>1194</v>
      </c>
      <c r="D113" s="5548"/>
      <c r="E113" s="5334"/>
      <c r="F113" s="5485"/>
      <c r="G113" s="336"/>
      <c r="H113" s="1426"/>
      <c r="I113" s="587"/>
      <c r="J113" s="507"/>
      <c r="K113" s="1426"/>
      <c r="L113" s="152"/>
      <c r="M113" s="278"/>
      <c r="N113" s="271"/>
      <c r="O113" s="1550"/>
      <c r="P113" s="1550"/>
      <c r="AH113" s="1557">
        <v>0</v>
      </c>
    </row>
    <row r="114" spans="1:34" s="1561" customFormat="1" ht="18.75" hidden="1" customHeight="1">
      <c r="A114" s="1705" t="s">
        <v>212</v>
      </c>
      <c r="B114" s="1705" t="s">
        <v>213</v>
      </c>
      <c r="C114" s="305"/>
      <c r="D114" s="5548"/>
      <c r="E114" s="5334"/>
      <c r="F114" s="5485" t="str">
        <f>INDEX(PT_DIFFERENTIATION_VTAR,MATCH(A114,PT_DIFFERENTIATION_VTAR_ID,0))</f>
        <v>Тарифы на услуги по передаче теплоносителя</v>
      </c>
      <c r="G114" s="5522" t="str">
        <f>INDEX(PT_DIFFERENTIATION_NTAR,MATCH(B114,PT_DIFFERENTIATION_NTAR_ID,0))</f>
        <v/>
      </c>
      <c r="H114" s="1786"/>
      <c r="I114" s="1664"/>
      <c r="J114" s="1698"/>
      <c r="K114" s="1703"/>
      <c r="L114" s="1786" t="s">
        <v>333</v>
      </c>
      <c r="M114" s="278"/>
      <c r="N114" s="271"/>
      <c r="O114" s="1550"/>
      <c r="P114" s="1550"/>
      <c r="AH114" s="1557">
        <v>0</v>
      </c>
    </row>
    <row r="115" spans="1:34" s="1561" customFormat="1" ht="18.75" hidden="1" customHeight="1">
      <c r="A115" s="1705"/>
      <c r="B115" s="1705"/>
      <c r="C115" s="305" t="s">
        <v>1187</v>
      </c>
      <c r="D115" s="5548"/>
      <c r="E115" s="5334"/>
      <c r="F115" s="5485"/>
      <c r="G115" s="5522"/>
      <c r="H115" s="1426"/>
      <c r="I115" s="587" t="s">
        <v>1186</v>
      </c>
      <c r="J115" s="507"/>
      <c r="K115" s="1426"/>
      <c r="L115" s="152"/>
      <c r="M115" s="278"/>
      <c r="N115" s="271"/>
      <c r="O115" s="1550"/>
      <c r="P115" s="1550"/>
      <c r="AH115" s="1557">
        <v>0</v>
      </c>
    </row>
    <row r="116" spans="1:34" s="1561" customFormat="1" ht="0.75" hidden="1" customHeight="1">
      <c r="A116" s="1705"/>
      <c r="B116" s="1705"/>
      <c r="C116" s="305" t="s">
        <v>1194</v>
      </c>
      <c r="D116" s="5548"/>
      <c r="E116" s="5334"/>
      <c r="F116" s="5485"/>
      <c r="G116" s="336"/>
      <c r="H116" s="1426"/>
      <c r="I116" s="587"/>
      <c r="J116" s="507"/>
      <c r="K116" s="1426"/>
      <c r="L116" s="152"/>
      <c r="M116" s="278"/>
      <c r="N116" s="271"/>
      <c r="O116" s="1550"/>
      <c r="P116" s="1550"/>
      <c r="AH116" s="1557">
        <v>0</v>
      </c>
    </row>
    <row r="117" spans="1:34" s="1561" customFormat="1" ht="18.75" hidden="1" customHeight="1">
      <c r="A117" s="1705" t="s">
        <v>220</v>
      </c>
      <c r="B117" s="1705" t="s">
        <v>221</v>
      </c>
      <c r="C117" s="305"/>
      <c r="D117" s="5548"/>
      <c r="E117" s="5334"/>
      <c r="F117" s="5485" t="str">
        <f>INDEX(PT_DIFFERENTIATION_VTAR,MATCH(A117,PT_DIFFERENTIATION_VTAR_ID,0))</f>
        <v>Плата за услуги по поддержанию резервной тепловой мощности при отсутствии потребления тепловой энергии</v>
      </c>
      <c r="G117" s="5522" t="str">
        <f>INDEX(PT_DIFFERENTIATION_NTAR,MATCH(B117,PT_DIFFERENTIATION_NTAR_ID,0))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117" s="1786"/>
      <c r="I117" s="1664"/>
      <c r="J117" s="1698"/>
      <c r="K117" s="1703"/>
      <c r="L117" s="1786" t="s">
        <v>333</v>
      </c>
      <c r="M117" s="278"/>
      <c r="N117" s="271"/>
      <c r="O117" s="1550"/>
      <c r="P117" s="1550"/>
      <c r="AH117" s="1557">
        <v>0</v>
      </c>
    </row>
    <row r="118" spans="1:34" s="1561" customFormat="1" ht="18.75" hidden="1" customHeight="1">
      <c r="A118" s="1705"/>
      <c r="B118" s="1705"/>
      <c r="C118" s="305" t="s">
        <v>1187</v>
      </c>
      <c r="D118" s="5548"/>
      <c r="E118" s="5334"/>
      <c r="F118" s="5485"/>
      <c r="G118" s="5522"/>
      <c r="H118" s="1426"/>
      <c r="I118" s="587" t="s">
        <v>1186</v>
      </c>
      <c r="J118" s="507"/>
      <c r="K118" s="1426"/>
      <c r="L118" s="152"/>
      <c r="M118" s="278"/>
      <c r="N118" s="271"/>
      <c r="O118" s="1550"/>
      <c r="P118" s="1550"/>
      <c r="AH118" s="1557">
        <v>0</v>
      </c>
    </row>
    <row r="119" spans="1:34" s="1561" customFormat="1" ht="0.75" hidden="1" customHeight="1">
      <c r="A119" s="1705"/>
      <c r="B119" s="1705"/>
      <c r="C119" s="305" t="s">
        <v>1194</v>
      </c>
      <c r="D119" s="5548"/>
      <c r="E119" s="5334"/>
      <c r="F119" s="5485"/>
      <c r="G119" s="336"/>
      <c r="H119" s="1426"/>
      <c r="I119" s="587"/>
      <c r="J119" s="507"/>
      <c r="K119" s="1426"/>
      <c r="L119" s="152"/>
      <c r="M119" s="278"/>
      <c r="N119" s="271"/>
      <c r="O119" s="1550"/>
      <c r="P119" s="1550"/>
      <c r="AH119" s="1557">
        <v>0</v>
      </c>
    </row>
    <row r="120" spans="1:34" s="1561" customFormat="1" ht="18.75" hidden="1" customHeight="1">
      <c r="A120" s="1705" t="s">
        <v>226</v>
      </c>
      <c r="B120" s="1705" t="s">
        <v>227</v>
      </c>
      <c r="C120" s="305"/>
      <c r="D120" s="5548"/>
      <c r="E120" s="5334"/>
      <c r="F120" s="5485" t="str">
        <f>INDEX(PT_DIFFERENTIATION_VTAR,MATCH(A120,PT_DIFFERENTIATION_VTAR_ID,0))</f>
        <v>Плата за подключение (технологическое присоединение) к системе теплоснабжения</v>
      </c>
      <c r="G120" s="5522" t="str">
        <f>INDEX(PT_DIFFERENTIATION_NTAR,MATCH(B120,PT_DIFFERENTIATION_NTAR_ID,0))</f>
        <v/>
      </c>
      <c r="H120" s="1786"/>
      <c r="I120" s="1664"/>
      <c r="J120" s="1698"/>
      <c r="K120" s="1703"/>
      <c r="L120" s="1786" t="s">
        <v>333</v>
      </c>
      <c r="M120" s="278"/>
      <c r="N120" s="271"/>
      <c r="O120" s="1550"/>
      <c r="P120" s="1550"/>
      <c r="AH120" s="1557">
        <v>0</v>
      </c>
    </row>
    <row r="121" spans="1:34" s="1561" customFormat="1" ht="18.75" hidden="1" customHeight="1">
      <c r="A121" s="1705"/>
      <c r="B121" s="1705"/>
      <c r="C121" s="305" t="s">
        <v>1187</v>
      </c>
      <c r="D121" s="5548"/>
      <c r="E121" s="5334"/>
      <c r="F121" s="5485"/>
      <c r="G121" s="5522"/>
      <c r="H121" s="1426"/>
      <c r="I121" s="587" t="s">
        <v>1186</v>
      </c>
      <c r="J121" s="507"/>
      <c r="K121" s="1426"/>
      <c r="L121" s="152"/>
      <c r="M121" s="278"/>
      <c r="N121" s="271"/>
      <c r="O121" s="1550"/>
      <c r="P121" s="1550"/>
      <c r="AH121" s="1557">
        <v>0</v>
      </c>
    </row>
    <row r="122" spans="1:34" s="1561" customFormat="1" ht="0.75" hidden="1" customHeight="1">
      <c r="A122" s="1705"/>
      <c r="B122" s="1705"/>
      <c r="C122" s="305" t="s">
        <v>1194</v>
      </c>
      <c r="D122" s="5548"/>
      <c r="E122" s="5334"/>
      <c r="F122" s="5485"/>
      <c r="G122" s="336"/>
      <c r="H122" s="1426"/>
      <c r="I122" s="587"/>
      <c r="J122" s="507"/>
      <c r="K122" s="1426"/>
      <c r="L122" s="152"/>
      <c r="M122" s="278"/>
      <c r="N122" s="271"/>
      <c r="O122" s="1550"/>
      <c r="P122" s="1550"/>
      <c r="AH122" s="1557">
        <v>0</v>
      </c>
    </row>
    <row r="123" spans="1:34" s="1561" customFormat="1" ht="18.75" hidden="1" customHeight="1">
      <c r="A123" s="1705" t="s">
        <v>232</v>
      </c>
      <c r="B123" s="1705" t="s">
        <v>233</v>
      </c>
      <c r="C123" s="305"/>
      <c r="D123" s="5548"/>
      <c r="E123" s="5334"/>
      <c r="F123" s="5485" t="str">
        <f>INDEX(PT_DIFFERENTIATION_VTAR,MATCH(A123,PT_DIFFERENTIATION_VTAR_ID,0))</f>
        <v>Плата за подключение (технологическое присоединение) к системе теплоснабжения (индивидуальная)</v>
      </c>
      <c r="G123" s="5522" t="str">
        <f>INDEX(PT_DIFFERENTIATION_NTAR,MATCH(B123,PT_DIFFERENTIATION_NTAR_ID,0))</f>
        <v/>
      </c>
      <c r="H123" s="1910"/>
      <c r="I123" s="1664"/>
      <c r="J123" s="1698"/>
      <c r="K123" s="1703"/>
      <c r="L123" s="1910" t="s">
        <v>333</v>
      </c>
      <c r="M123" s="278"/>
      <c r="N123" s="271"/>
      <c r="O123" s="1550"/>
      <c r="P123" s="1550"/>
      <c r="AH123" s="1557">
        <v>0</v>
      </c>
    </row>
    <row r="124" spans="1:34" s="1561" customFormat="1" ht="18.75" hidden="1" customHeight="1">
      <c r="A124" s="1705"/>
      <c r="B124" s="1705"/>
      <c r="C124" s="305" t="s">
        <v>1187</v>
      </c>
      <c r="D124" s="5548"/>
      <c r="E124" s="5334"/>
      <c r="F124" s="5485"/>
      <c r="G124" s="5522"/>
      <c r="H124" s="1426"/>
      <c r="I124" s="587" t="s">
        <v>1186</v>
      </c>
      <c r="J124" s="507"/>
      <c r="K124" s="1426"/>
      <c r="L124" s="152"/>
      <c r="M124" s="278"/>
      <c r="N124" s="271"/>
      <c r="O124" s="1550"/>
      <c r="P124" s="1550"/>
      <c r="AH124" s="1557">
        <v>0</v>
      </c>
    </row>
    <row r="125" spans="1:34" s="1561" customFormat="1" ht="0.75" hidden="1" customHeight="1">
      <c r="A125" s="1705"/>
      <c r="B125" s="1705"/>
      <c r="C125" s="305" t="s">
        <v>1194</v>
      </c>
      <c r="D125" s="5548"/>
      <c r="E125" s="5334"/>
      <c r="F125" s="5485"/>
      <c r="G125" s="336"/>
      <c r="H125" s="1426"/>
      <c r="I125" s="587"/>
      <c r="J125" s="507"/>
      <c r="K125" s="1426"/>
      <c r="L125" s="152"/>
      <c r="M125" s="278"/>
      <c r="N125" s="271"/>
      <c r="O125" s="1550"/>
      <c r="P125" s="1550"/>
      <c r="AH125" s="1557">
        <v>0</v>
      </c>
    </row>
    <row r="126" spans="1:34" s="1561" customFormat="1" ht="18.75" hidden="1" customHeight="1">
      <c r="A126" s="1705" t="s">
        <v>252</v>
      </c>
      <c r="B126" s="1705" t="s">
        <v>253</v>
      </c>
      <c r="C126" s="305"/>
      <c r="D126" s="5548"/>
      <c r="E126" s="5334"/>
      <c r="F126" s="5485" t="str">
        <f>INDEX(PT_DIFFERENTIATION_VTAR,MATCH(A126,PT_DIFFERENTIATION_VTAR_ID,0))</f>
        <v>Тариф на питьевую воду (питьевое водоснабжение)</v>
      </c>
      <c r="G126" s="5522" t="str">
        <f>INDEX(PT_DIFFERENTIATION_NTAR,MATCH(B126,PT_DIFFERENTIATION_NTAR_ID,0))</f>
        <v/>
      </c>
      <c r="H126" s="1786"/>
      <c r="I126" s="1664"/>
      <c r="J126" s="1698"/>
      <c r="K126" s="1703"/>
      <c r="L126" s="1786" t="s">
        <v>333</v>
      </c>
      <c r="M126" s="278"/>
      <c r="N126" s="271"/>
      <c r="O126" s="1550"/>
      <c r="P126" s="1550"/>
      <c r="AH126" s="1557">
        <v>0</v>
      </c>
    </row>
    <row r="127" spans="1:34" s="1561" customFormat="1" ht="18.75" hidden="1" customHeight="1">
      <c r="A127" s="1705"/>
      <c r="B127" s="1705"/>
      <c r="C127" s="305" t="s">
        <v>1187</v>
      </c>
      <c r="D127" s="5548"/>
      <c r="E127" s="5334"/>
      <c r="F127" s="5485"/>
      <c r="G127" s="5522"/>
      <c r="H127" s="1426"/>
      <c r="I127" s="587" t="s">
        <v>1186</v>
      </c>
      <c r="J127" s="507"/>
      <c r="K127" s="1426"/>
      <c r="L127" s="152"/>
      <c r="M127" s="278"/>
      <c r="N127" s="271"/>
      <c r="O127" s="1550"/>
      <c r="P127" s="1550"/>
      <c r="AH127" s="1557">
        <v>0</v>
      </c>
    </row>
    <row r="128" spans="1:34" s="1561" customFormat="1" ht="0.75" hidden="1" customHeight="1">
      <c r="A128" s="1705"/>
      <c r="B128" s="1705"/>
      <c r="C128" s="305" t="s">
        <v>1194</v>
      </c>
      <c r="D128" s="5548"/>
      <c r="E128" s="5334"/>
      <c r="F128" s="5485"/>
      <c r="G128" s="336"/>
      <c r="H128" s="1426"/>
      <c r="I128" s="587"/>
      <c r="J128" s="507"/>
      <c r="K128" s="1426"/>
      <c r="L128" s="152"/>
      <c r="M128" s="278"/>
      <c r="N128" s="271"/>
      <c r="O128" s="1550"/>
      <c r="P128" s="1550"/>
      <c r="AH128" s="1557">
        <v>0</v>
      </c>
    </row>
    <row r="129" spans="1:34" s="1561" customFormat="1" ht="18.75" hidden="1" customHeight="1">
      <c r="A129" s="1705" t="s">
        <v>257</v>
      </c>
      <c r="B129" s="1705" t="s">
        <v>258</v>
      </c>
      <c r="C129" s="305"/>
      <c r="D129" s="5548"/>
      <c r="E129" s="5334"/>
      <c r="F129" s="5485" t="str">
        <f>INDEX(PT_DIFFERENTIATION_VTAR,MATCH(A129,PT_DIFFERENTIATION_VTAR_ID,0))</f>
        <v>Тариф на техническую воду</v>
      </c>
      <c r="G129" s="5522" t="str">
        <f>INDEX(PT_DIFFERENTIATION_NTAR,MATCH(B129,PT_DIFFERENTIATION_NTAR_ID,0))</f>
        <v/>
      </c>
      <c r="H129" s="1786"/>
      <c r="I129" s="1664"/>
      <c r="J129" s="1698"/>
      <c r="K129" s="1703"/>
      <c r="L129" s="1786" t="s">
        <v>333</v>
      </c>
      <c r="M129" s="278"/>
      <c r="N129" s="271"/>
      <c r="O129" s="1550"/>
      <c r="P129" s="1550"/>
      <c r="AH129" s="1557">
        <v>0</v>
      </c>
    </row>
    <row r="130" spans="1:34" s="1561" customFormat="1" ht="18.75" hidden="1" customHeight="1">
      <c r="A130" s="1705"/>
      <c r="B130" s="1705"/>
      <c r="C130" s="305" t="s">
        <v>1187</v>
      </c>
      <c r="D130" s="5548"/>
      <c r="E130" s="5334"/>
      <c r="F130" s="5485"/>
      <c r="G130" s="5522"/>
      <c r="H130" s="1426"/>
      <c r="I130" s="587" t="s">
        <v>1186</v>
      </c>
      <c r="J130" s="507"/>
      <c r="K130" s="1426"/>
      <c r="L130" s="152"/>
      <c r="M130" s="278"/>
      <c r="N130" s="271"/>
      <c r="O130" s="1550"/>
      <c r="P130" s="1550"/>
      <c r="AH130" s="1557">
        <v>0</v>
      </c>
    </row>
    <row r="131" spans="1:34" s="1561" customFormat="1" ht="0.75" hidden="1" customHeight="1">
      <c r="A131" s="1705"/>
      <c r="B131" s="1705"/>
      <c r="C131" s="305" t="s">
        <v>1194</v>
      </c>
      <c r="D131" s="5548"/>
      <c r="E131" s="5334"/>
      <c r="F131" s="5485"/>
      <c r="G131" s="336"/>
      <c r="H131" s="1426"/>
      <c r="I131" s="587"/>
      <c r="J131" s="507"/>
      <c r="K131" s="1426"/>
      <c r="L131" s="152"/>
      <c r="M131" s="278"/>
      <c r="N131" s="271"/>
      <c r="O131" s="1550"/>
      <c r="P131" s="1550"/>
      <c r="AH131" s="1557">
        <v>0</v>
      </c>
    </row>
    <row r="132" spans="1:34" s="1561" customFormat="1" ht="18.75" hidden="1" customHeight="1">
      <c r="A132" s="1705" t="s">
        <v>262</v>
      </c>
      <c r="B132" s="1705" t="s">
        <v>263</v>
      </c>
      <c r="C132" s="305"/>
      <c r="D132" s="5548"/>
      <c r="E132" s="5334"/>
      <c r="F132" s="5485" t="str">
        <f>INDEX(PT_DIFFERENTIATION_VTAR,MATCH(A132,PT_DIFFERENTIATION_VTAR_ID,0))</f>
        <v>Тариф на транспортировку воды</v>
      </c>
      <c r="G132" s="5522" t="str">
        <f>INDEX(PT_DIFFERENTIATION_NTAR,MATCH(B132,PT_DIFFERENTIATION_NTAR_ID,0))</f>
        <v/>
      </c>
      <c r="H132" s="1786"/>
      <c r="I132" s="1664"/>
      <c r="J132" s="1698"/>
      <c r="K132" s="1703"/>
      <c r="L132" s="1786" t="s">
        <v>333</v>
      </c>
      <c r="M132" s="278"/>
      <c r="N132" s="271"/>
      <c r="O132" s="1550"/>
      <c r="P132" s="1550"/>
      <c r="AH132" s="1557">
        <v>0</v>
      </c>
    </row>
    <row r="133" spans="1:34" s="1561" customFormat="1" ht="18.75" hidden="1" customHeight="1">
      <c r="A133" s="1705"/>
      <c r="B133" s="1705"/>
      <c r="C133" s="305" t="s">
        <v>1187</v>
      </c>
      <c r="D133" s="5548"/>
      <c r="E133" s="5334"/>
      <c r="F133" s="5485"/>
      <c r="G133" s="5522"/>
      <c r="H133" s="1426"/>
      <c r="I133" s="587" t="s">
        <v>1186</v>
      </c>
      <c r="J133" s="507"/>
      <c r="K133" s="1426"/>
      <c r="L133" s="152"/>
      <c r="M133" s="278"/>
      <c r="N133" s="271"/>
      <c r="O133" s="1550"/>
      <c r="P133" s="1550"/>
      <c r="AH133" s="1557">
        <v>0</v>
      </c>
    </row>
    <row r="134" spans="1:34" s="1561" customFormat="1" ht="0.75" hidden="1" customHeight="1">
      <c r="A134" s="1705"/>
      <c r="B134" s="1705"/>
      <c r="C134" s="305" t="s">
        <v>1194</v>
      </c>
      <c r="D134" s="5548"/>
      <c r="E134" s="5334"/>
      <c r="F134" s="5485"/>
      <c r="G134" s="336"/>
      <c r="H134" s="1426"/>
      <c r="I134" s="587"/>
      <c r="J134" s="507"/>
      <c r="K134" s="1426"/>
      <c r="L134" s="152"/>
      <c r="M134" s="278"/>
      <c r="N134" s="271"/>
      <c r="O134" s="1550"/>
      <c r="P134" s="1550"/>
      <c r="AH134" s="1557">
        <v>0</v>
      </c>
    </row>
    <row r="135" spans="1:34" s="1561" customFormat="1" ht="18.75" hidden="1" customHeight="1">
      <c r="A135" s="1705" t="s">
        <v>267</v>
      </c>
      <c r="B135" s="1705" t="s">
        <v>268</v>
      </c>
      <c r="C135" s="305"/>
      <c r="D135" s="5548"/>
      <c r="E135" s="5334"/>
      <c r="F135" s="5485" t="str">
        <f>INDEX(PT_DIFFERENTIATION_VTAR,MATCH(A135,PT_DIFFERENTIATION_VTAR_ID,0))</f>
        <v>Тариф на подвоз воды</v>
      </c>
      <c r="G135" s="5522" t="str">
        <f>INDEX(PT_DIFFERENTIATION_NTAR,MATCH(B135,PT_DIFFERENTIATION_NTAR_ID,0))</f>
        <v/>
      </c>
      <c r="H135" s="1786"/>
      <c r="I135" s="1664"/>
      <c r="J135" s="1698"/>
      <c r="K135" s="1703"/>
      <c r="L135" s="1786" t="s">
        <v>333</v>
      </c>
      <c r="M135" s="278"/>
      <c r="N135" s="271"/>
      <c r="O135" s="1550"/>
      <c r="P135" s="1550"/>
      <c r="AH135" s="1557">
        <v>0</v>
      </c>
    </row>
    <row r="136" spans="1:34" s="1561" customFormat="1" ht="18.75" hidden="1" customHeight="1">
      <c r="A136" s="1705"/>
      <c r="B136" s="1705"/>
      <c r="C136" s="305" t="s">
        <v>1187</v>
      </c>
      <c r="D136" s="5548"/>
      <c r="E136" s="5334"/>
      <c r="F136" s="5485"/>
      <c r="G136" s="5522"/>
      <c r="H136" s="1426"/>
      <c r="I136" s="587" t="s">
        <v>1186</v>
      </c>
      <c r="J136" s="507"/>
      <c r="K136" s="1426"/>
      <c r="L136" s="152"/>
      <c r="M136" s="278"/>
      <c r="N136" s="271"/>
      <c r="O136" s="1550"/>
      <c r="P136" s="1550"/>
      <c r="AH136" s="1557">
        <v>0</v>
      </c>
    </row>
    <row r="137" spans="1:34" s="1561" customFormat="1" ht="0.75" hidden="1" customHeight="1">
      <c r="A137" s="1705"/>
      <c r="B137" s="1705"/>
      <c r="C137" s="305" t="s">
        <v>1194</v>
      </c>
      <c r="D137" s="5548"/>
      <c r="E137" s="5334"/>
      <c r="F137" s="5485"/>
      <c r="G137" s="336"/>
      <c r="H137" s="1426"/>
      <c r="I137" s="587"/>
      <c r="J137" s="507"/>
      <c r="K137" s="1426"/>
      <c r="L137" s="152"/>
      <c r="M137" s="278"/>
      <c r="N137" s="271"/>
      <c r="O137" s="1550"/>
      <c r="P137" s="1550"/>
      <c r="AH137" s="1557">
        <v>0</v>
      </c>
    </row>
    <row r="138" spans="1:34" s="1561" customFormat="1" ht="18.75" hidden="1" customHeight="1">
      <c r="A138" s="1705" t="s">
        <v>272</v>
      </c>
      <c r="B138" s="1705" t="s">
        <v>273</v>
      </c>
      <c r="C138" s="305"/>
      <c r="D138" s="5548"/>
      <c r="E138" s="5334"/>
      <c r="F138" s="5485" t="str">
        <f>INDEX(PT_DIFFERENTIATION_VTAR,MATCH(A138,PT_DIFFERENTIATION_VTAR_ID,0))</f>
        <v>Тариф на подключение (технологическое присоединение) к централизованной системе холодного водоснабжения</v>
      </c>
      <c r="G138" s="5522" t="str">
        <f>INDEX(PT_DIFFERENTIATION_NTAR,MATCH(B138,PT_DIFFERENTIATION_NTAR_ID,0))</f>
        <v/>
      </c>
      <c r="H138" s="1786"/>
      <c r="I138" s="1664"/>
      <c r="J138" s="1698"/>
      <c r="K138" s="1703"/>
      <c r="L138" s="1786" t="s">
        <v>333</v>
      </c>
      <c r="M138" s="278"/>
      <c r="N138" s="271"/>
      <c r="O138" s="1550"/>
      <c r="P138" s="1550"/>
      <c r="AH138" s="1557">
        <v>0</v>
      </c>
    </row>
    <row r="139" spans="1:34" s="1561" customFormat="1" ht="18.75" hidden="1" customHeight="1">
      <c r="A139" s="1705"/>
      <c r="B139" s="1705"/>
      <c r="C139" s="305" t="s">
        <v>1187</v>
      </c>
      <c r="D139" s="5548"/>
      <c r="E139" s="5334"/>
      <c r="F139" s="5485"/>
      <c r="G139" s="5522"/>
      <c r="H139" s="1426"/>
      <c r="I139" s="587" t="s">
        <v>1186</v>
      </c>
      <c r="J139" s="507"/>
      <c r="K139" s="1426"/>
      <c r="L139" s="152"/>
      <c r="M139" s="278"/>
      <c r="N139" s="271"/>
      <c r="O139" s="1550"/>
      <c r="P139" s="1550"/>
      <c r="AH139" s="1557">
        <v>0</v>
      </c>
    </row>
    <row r="140" spans="1:34" s="1561" customFormat="1" ht="0.75" hidden="1" customHeight="1">
      <c r="A140" s="1705"/>
      <c r="B140" s="1705"/>
      <c r="C140" s="305" t="s">
        <v>1194</v>
      </c>
      <c r="D140" s="5548"/>
      <c r="E140" s="5334"/>
      <c r="F140" s="5485"/>
      <c r="G140" s="336"/>
      <c r="H140" s="1426"/>
      <c r="I140" s="587"/>
      <c r="J140" s="507"/>
      <c r="K140" s="1426"/>
      <c r="L140" s="152"/>
      <c r="M140" s="278"/>
      <c r="N140" s="271"/>
      <c r="O140" s="1550"/>
      <c r="P140" s="1550"/>
      <c r="AH140" s="1557">
        <v>0</v>
      </c>
    </row>
    <row r="141" spans="1:34" s="1561" customFormat="1" ht="18.75" hidden="1" customHeight="1">
      <c r="A141" s="1705" t="s">
        <v>277</v>
      </c>
      <c r="B141" s="1705" t="s">
        <v>278</v>
      </c>
      <c r="C141" s="305"/>
      <c r="D141" s="5548"/>
      <c r="E141" s="5334"/>
      <c r="F141" s="5485" t="str">
        <f>INDEX(PT_DIFFERENTIATION_VTAR,MATCH(A141,PT_DIFFERENTIATION_VTAR_ID,0))</f>
        <v>Тариф на горячую воду (горячее водоснабжение)</v>
      </c>
      <c r="G141" s="5522" t="str">
        <f>INDEX(PT_DIFFERENTIATION_NTAR,MATCH(B141,PT_DIFFERENTIATION_NTAR_ID,0))</f>
        <v/>
      </c>
      <c r="H141" s="1786"/>
      <c r="I141" s="1664"/>
      <c r="J141" s="1698"/>
      <c r="K141" s="1703"/>
      <c r="L141" s="1786" t="s">
        <v>333</v>
      </c>
      <c r="M141" s="278"/>
      <c r="N141" s="271"/>
      <c r="O141" s="1550"/>
      <c r="P141" s="1550"/>
      <c r="AH141" s="1557">
        <v>0</v>
      </c>
    </row>
    <row r="142" spans="1:34" s="1561" customFormat="1" ht="18.75" hidden="1" customHeight="1">
      <c r="A142" s="1705"/>
      <c r="B142" s="1705"/>
      <c r="C142" s="305" t="s">
        <v>1187</v>
      </c>
      <c r="D142" s="5548"/>
      <c r="E142" s="5334"/>
      <c r="F142" s="5485"/>
      <c r="G142" s="5522"/>
      <c r="H142" s="1426"/>
      <c r="I142" s="587" t="s">
        <v>1186</v>
      </c>
      <c r="J142" s="507"/>
      <c r="K142" s="1426"/>
      <c r="L142" s="152"/>
      <c r="M142" s="278"/>
      <c r="N142" s="271"/>
      <c r="O142" s="1550"/>
      <c r="P142" s="1550"/>
      <c r="AH142" s="1557">
        <v>0</v>
      </c>
    </row>
    <row r="143" spans="1:34" s="1561" customFormat="1" ht="0.75" hidden="1" customHeight="1">
      <c r="A143" s="1705"/>
      <c r="B143" s="1705"/>
      <c r="C143" s="305" t="s">
        <v>1194</v>
      </c>
      <c r="D143" s="5548"/>
      <c r="E143" s="5334"/>
      <c r="F143" s="5485"/>
      <c r="G143" s="336"/>
      <c r="H143" s="1426"/>
      <c r="I143" s="587"/>
      <c r="J143" s="507"/>
      <c r="K143" s="1426"/>
      <c r="L143" s="152"/>
      <c r="M143" s="278"/>
      <c r="N143" s="271"/>
      <c r="O143" s="1550"/>
      <c r="P143" s="1550"/>
      <c r="AH143" s="1557">
        <v>0</v>
      </c>
    </row>
    <row r="144" spans="1:34" s="1561" customFormat="1" ht="18.75" hidden="1" customHeight="1">
      <c r="A144" s="1705" t="s">
        <v>282</v>
      </c>
      <c r="B144" s="1705" t="s">
        <v>283</v>
      </c>
      <c r="C144" s="305"/>
      <c r="D144" s="5548"/>
      <c r="E144" s="5334"/>
      <c r="F144" s="5485" t="str">
        <f>INDEX(PT_DIFFERENTIATION_VTAR,MATCH(A144,PT_DIFFERENTIATION_VTAR_ID,0))</f>
        <v>Тариф на транспортировку горячей воды</v>
      </c>
      <c r="G144" s="5522" t="str">
        <f>INDEX(PT_DIFFERENTIATION_NTAR,MATCH(B144,PT_DIFFERENTIATION_NTAR_ID,0))</f>
        <v/>
      </c>
      <c r="H144" s="1786"/>
      <c r="I144" s="1664"/>
      <c r="J144" s="1698"/>
      <c r="K144" s="1703"/>
      <c r="L144" s="1786" t="s">
        <v>333</v>
      </c>
      <c r="M144" s="278"/>
      <c r="N144" s="271"/>
      <c r="O144" s="1550"/>
      <c r="P144" s="1550"/>
      <c r="AH144" s="1557">
        <v>0</v>
      </c>
    </row>
    <row r="145" spans="1:34" s="1561" customFormat="1" ht="18.75" hidden="1" customHeight="1">
      <c r="A145" s="1705"/>
      <c r="B145" s="1705"/>
      <c r="C145" s="305" t="s">
        <v>1187</v>
      </c>
      <c r="D145" s="5548"/>
      <c r="E145" s="5334"/>
      <c r="F145" s="5485"/>
      <c r="G145" s="5522"/>
      <c r="H145" s="1426"/>
      <c r="I145" s="587" t="s">
        <v>1186</v>
      </c>
      <c r="J145" s="507"/>
      <c r="K145" s="1426"/>
      <c r="L145" s="152"/>
      <c r="M145" s="278"/>
      <c r="N145" s="271"/>
      <c r="O145" s="1550"/>
      <c r="P145" s="1550"/>
      <c r="AH145" s="1557">
        <v>0</v>
      </c>
    </row>
    <row r="146" spans="1:34" s="1561" customFormat="1" ht="0.75" hidden="1" customHeight="1">
      <c r="A146" s="1705"/>
      <c r="B146" s="1705"/>
      <c r="C146" s="305" t="s">
        <v>1194</v>
      </c>
      <c r="D146" s="5548"/>
      <c r="E146" s="5334"/>
      <c r="F146" s="5485"/>
      <c r="G146" s="336"/>
      <c r="H146" s="1426"/>
      <c r="I146" s="587"/>
      <c r="J146" s="507"/>
      <c r="K146" s="1426"/>
      <c r="L146" s="152"/>
      <c r="M146" s="278"/>
      <c r="N146" s="271"/>
      <c r="O146" s="1550"/>
      <c r="P146" s="1550"/>
      <c r="AH146" s="1557">
        <v>0</v>
      </c>
    </row>
    <row r="147" spans="1:34" s="1561" customFormat="1" ht="18.75" hidden="1" customHeight="1">
      <c r="A147" s="1705" t="s">
        <v>287</v>
      </c>
      <c r="B147" s="1705" t="s">
        <v>288</v>
      </c>
      <c r="C147" s="305"/>
      <c r="D147" s="5548"/>
      <c r="E147" s="5334"/>
      <c r="F147" s="5485" t="str">
        <f>INDEX(PT_DIFFERENTIATION_VTAR,MATCH(A147,PT_DIFFERENTIATION_VTAR_ID,0))</f>
        <v>Тариф на подключение (технологическое присоединение) к централизованной системе горячего водоснабжения</v>
      </c>
      <c r="G147" s="5522" t="str">
        <f>INDEX(PT_DIFFERENTIATION_NTAR,MATCH(B147,PT_DIFFERENTIATION_NTAR_ID,0))</f>
        <v/>
      </c>
      <c r="H147" s="1786"/>
      <c r="I147" s="1664"/>
      <c r="J147" s="1698"/>
      <c r="K147" s="1703"/>
      <c r="L147" s="1786" t="s">
        <v>333</v>
      </c>
      <c r="M147" s="278"/>
      <c r="N147" s="271"/>
      <c r="O147" s="1550"/>
      <c r="P147" s="1550"/>
      <c r="AH147" s="1557">
        <v>0</v>
      </c>
    </row>
    <row r="148" spans="1:34" s="1561" customFormat="1" ht="18.75" hidden="1" customHeight="1">
      <c r="A148" s="1705"/>
      <c r="B148" s="1705"/>
      <c r="C148" s="305" t="s">
        <v>1187</v>
      </c>
      <c r="D148" s="5548"/>
      <c r="E148" s="5334"/>
      <c r="F148" s="5485"/>
      <c r="G148" s="5522"/>
      <c r="H148" s="1426"/>
      <c r="I148" s="587" t="s">
        <v>1186</v>
      </c>
      <c r="J148" s="507"/>
      <c r="K148" s="1426"/>
      <c r="L148" s="152"/>
      <c r="M148" s="278"/>
      <c r="N148" s="271"/>
      <c r="O148" s="1550"/>
      <c r="P148" s="1550"/>
      <c r="AH148" s="1557">
        <v>0</v>
      </c>
    </row>
    <row r="149" spans="1:34" s="1561" customFormat="1" ht="0.75" hidden="1" customHeight="1">
      <c r="A149" s="1705"/>
      <c r="B149" s="1705"/>
      <c r="C149" s="305" t="s">
        <v>1194</v>
      </c>
      <c r="D149" s="5548"/>
      <c r="E149" s="5334"/>
      <c r="F149" s="5485"/>
      <c r="G149" s="336"/>
      <c r="H149" s="1426"/>
      <c r="I149" s="587"/>
      <c r="J149" s="507"/>
      <c r="K149" s="1426"/>
      <c r="L149" s="152"/>
      <c r="M149" s="278"/>
      <c r="N149" s="271"/>
      <c r="O149" s="1550"/>
      <c r="P149" s="1550"/>
      <c r="AH149" s="1557">
        <v>0</v>
      </c>
    </row>
    <row r="150" spans="1:34" s="1561" customFormat="1" ht="18.75" hidden="1" customHeight="1">
      <c r="A150" s="1705" t="s">
        <v>292</v>
      </c>
      <c r="B150" s="1705" t="s">
        <v>293</v>
      </c>
      <c r="C150" s="305"/>
      <c r="D150" s="5548"/>
      <c r="E150" s="5334"/>
      <c r="F150" s="5485" t="str">
        <f>INDEX(PT_DIFFERENTIATION_VTAR,MATCH(A150,PT_DIFFERENTIATION_VTAR_ID,0))</f>
        <v>Тариф на водоотведение</v>
      </c>
      <c r="G150" s="5522" t="str">
        <f>INDEX(PT_DIFFERENTIATION_NTAR,MATCH(B150,PT_DIFFERENTIATION_NTAR_ID,0))</f>
        <v/>
      </c>
      <c r="H150" s="1786"/>
      <c r="I150" s="1664"/>
      <c r="J150" s="1698"/>
      <c r="K150" s="1703"/>
      <c r="L150" s="1786" t="s">
        <v>333</v>
      </c>
      <c r="M150" s="278"/>
      <c r="N150" s="271"/>
      <c r="O150" s="1550"/>
      <c r="P150" s="1550"/>
      <c r="AH150" s="1557">
        <v>0</v>
      </c>
    </row>
    <row r="151" spans="1:34" s="1561" customFormat="1" ht="18.75" hidden="1" customHeight="1">
      <c r="A151" s="1705"/>
      <c r="B151" s="1705"/>
      <c r="C151" s="305" t="s">
        <v>1187</v>
      </c>
      <c r="D151" s="5548"/>
      <c r="E151" s="5334"/>
      <c r="F151" s="5485"/>
      <c r="G151" s="5522"/>
      <c r="H151" s="1426"/>
      <c r="I151" s="587" t="s">
        <v>1186</v>
      </c>
      <c r="J151" s="507"/>
      <c r="K151" s="1426"/>
      <c r="L151" s="152"/>
      <c r="M151" s="278"/>
      <c r="N151" s="271"/>
      <c r="O151" s="1550"/>
      <c r="P151" s="1550"/>
      <c r="AH151" s="1557">
        <v>0</v>
      </c>
    </row>
    <row r="152" spans="1:34" s="1561" customFormat="1" ht="0.75" hidden="1" customHeight="1">
      <c r="A152" s="1705"/>
      <c r="B152" s="1705"/>
      <c r="C152" s="305" t="s">
        <v>1194</v>
      </c>
      <c r="D152" s="5548"/>
      <c r="E152" s="5334"/>
      <c r="F152" s="5485"/>
      <c r="G152" s="336"/>
      <c r="H152" s="1426"/>
      <c r="I152" s="587"/>
      <c r="J152" s="507"/>
      <c r="K152" s="1426"/>
      <c r="L152" s="152"/>
      <c r="M152" s="278"/>
      <c r="N152" s="271"/>
      <c r="O152" s="1550"/>
      <c r="P152" s="1550"/>
      <c r="AH152" s="1557">
        <v>0</v>
      </c>
    </row>
    <row r="153" spans="1:34" s="1561" customFormat="1" ht="18.75" hidden="1" customHeight="1">
      <c r="A153" s="1705" t="s">
        <v>297</v>
      </c>
      <c r="B153" s="1705" t="s">
        <v>298</v>
      </c>
      <c r="C153" s="305"/>
      <c r="D153" s="5548"/>
      <c r="E153" s="5334"/>
      <c r="F153" s="5485" t="str">
        <f>INDEX(PT_DIFFERENTIATION_VTAR,MATCH(A153,PT_DIFFERENTIATION_VTAR_ID,0))</f>
        <v>Тариф на транспортировку сточных вод</v>
      </c>
      <c r="G153" s="5522" t="str">
        <f>INDEX(PT_DIFFERENTIATION_NTAR,MATCH(B153,PT_DIFFERENTIATION_NTAR_ID,0))</f>
        <v/>
      </c>
      <c r="H153" s="1786"/>
      <c r="I153" s="1664"/>
      <c r="J153" s="1698"/>
      <c r="K153" s="1703"/>
      <c r="L153" s="1786" t="s">
        <v>333</v>
      </c>
      <c r="M153" s="278"/>
      <c r="N153" s="271"/>
      <c r="O153" s="1550"/>
      <c r="P153" s="1550"/>
      <c r="AH153" s="1557">
        <v>0</v>
      </c>
    </row>
    <row r="154" spans="1:34" s="1561" customFormat="1" ht="18.75" hidden="1" customHeight="1">
      <c r="A154" s="1705"/>
      <c r="B154" s="1705"/>
      <c r="C154" s="305" t="s">
        <v>1187</v>
      </c>
      <c r="D154" s="5548"/>
      <c r="E154" s="5334"/>
      <c r="F154" s="5485"/>
      <c r="G154" s="5522"/>
      <c r="H154" s="1426"/>
      <c r="I154" s="587" t="s">
        <v>1186</v>
      </c>
      <c r="J154" s="507"/>
      <c r="K154" s="1426"/>
      <c r="L154" s="152"/>
      <c r="M154" s="278"/>
      <c r="N154" s="271"/>
      <c r="O154" s="1550"/>
      <c r="P154" s="1550"/>
      <c r="AH154" s="1557">
        <v>0</v>
      </c>
    </row>
    <row r="155" spans="1:34" s="1561" customFormat="1" ht="0.75" hidden="1" customHeight="1">
      <c r="A155" s="1705"/>
      <c r="B155" s="1705"/>
      <c r="C155" s="305" t="s">
        <v>1194</v>
      </c>
      <c r="D155" s="5548"/>
      <c r="E155" s="5334"/>
      <c r="F155" s="5485"/>
      <c r="G155" s="336"/>
      <c r="H155" s="1426"/>
      <c r="I155" s="587"/>
      <c r="J155" s="507"/>
      <c r="K155" s="1426"/>
      <c r="L155" s="152"/>
      <c r="M155" s="278"/>
      <c r="N155" s="271"/>
      <c r="O155" s="1550"/>
      <c r="P155" s="1550"/>
      <c r="AH155" s="1557">
        <v>0</v>
      </c>
    </row>
    <row r="156" spans="1:34" s="1561" customFormat="1" ht="18.75" hidden="1" customHeight="1">
      <c r="A156" s="1705" t="s">
        <v>302</v>
      </c>
      <c r="B156" s="1705" t="s">
        <v>303</v>
      </c>
      <c r="C156" s="305"/>
      <c r="D156" s="5548"/>
      <c r="E156" s="5334"/>
      <c r="F156" s="5485" t="str">
        <f>INDEX(PT_DIFFERENTIATION_VTAR,MATCH(A156,PT_DIFFERENTIATION_VTAR_ID,0))</f>
        <v>Тариф на подключение (технологическое присоединение) к централизованной системе водоотведения</v>
      </c>
      <c r="G156" s="5522" t="str">
        <f>INDEX(PT_DIFFERENTIATION_NTAR,MATCH(B156,PT_DIFFERENTIATION_NTAR_ID,0))</f>
        <v/>
      </c>
      <c r="H156" s="1786"/>
      <c r="I156" s="1664"/>
      <c r="J156" s="1698"/>
      <c r="K156" s="1703"/>
      <c r="L156" s="1786" t="s">
        <v>333</v>
      </c>
      <c r="M156" s="278"/>
      <c r="N156" s="271"/>
      <c r="O156" s="1550"/>
      <c r="P156" s="1550"/>
      <c r="AH156" s="1557">
        <v>0</v>
      </c>
    </row>
    <row r="157" spans="1:34" s="1561" customFormat="1" ht="18.75" hidden="1" customHeight="1">
      <c r="A157" s="1705"/>
      <c r="B157" s="1705"/>
      <c r="C157" s="305" t="s">
        <v>1187</v>
      </c>
      <c r="D157" s="5548"/>
      <c r="E157" s="5334"/>
      <c r="F157" s="5485"/>
      <c r="G157" s="5522"/>
      <c r="H157" s="1426"/>
      <c r="I157" s="587" t="s">
        <v>1186</v>
      </c>
      <c r="J157" s="507"/>
      <c r="K157" s="1426"/>
      <c r="L157" s="152"/>
      <c r="M157" s="278"/>
      <c r="N157" s="271"/>
      <c r="O157" s="1550"/>
      <c r="P157" s="1550"/>
      <c r="AH157" s="1557">
        <v>0</v>
      </c>
    </row>
    <row r="158" spans="1:34" s="1561" customFormat="1" ht="1.1499999999999999" customHeight="1">
      <c r="A158" s="1705"/>
      <c r="B158" s="1705"/>
      <c r="C158" s="305" t="s">
        <v>1194</v>
      </c>
      <c r="D158" s="5548"/>
      <c r="E158" s="5334"/>
      <c r="F158" s="5485"/>
      <c r="G158" s="336"/>
      <c r="H158" s="1426"/>
      <c r="I158" s="587"/>
      <c r="J158" s="507"/>
      <c r="K158" s="1426"/>
      <c r="L158" s="152"/>
      <c r="M158" s="278"/>
      <c r="N158" s="271"/>
      <c r="O158" s="1550"/>
      <c r="P158" s="1550"/>
      <c r="AH158" s="1557">
        <v>1</v>
      </c>
    </row>
    <row r="159" spans="1:34" ht="19.899999999999999" customHeight="1">
      <c r="A159" s="1705"/>
      <c r="B159" s="1705"/>
      <c r="D159" s="312"/>
      <c r="E159" s="85" t="s">
        <v>93</v>
      </c>
      <c r="F159" s="554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9" s="5546"/>
      <c r="H159" s="5546"/>
      <c r="I159" s="5546"/>
      <c r="J159" s="5546"/>
      <c r="K159" s="5546"/>
      <c r="L159" s="5546"/>
      <c r="M159" s="234"/>
      <c r="N159" s="271"/>
      <c r="AH159" s="310">
        <v>19</v>
      </c>
    </row>
    <row r="160" spans="1:34" s="1561" customFormat="1" ht="60.75" hidden="1" customHeight="1">
      <c r="A160" s="1705" t="s">
        <v>158</v>
      </c>
      <c r="B160" s="1705" t="s">
        <v>159</v>
      </c>
      <c r="C160" s="305"/>
      <c r="D160" s="5548"/>
      <c r="E160" s="5334"/>
      <c r="F160" s="5485" t="str">
        <f>INDEX(PT_DIFFERENTIATION_VTAR,MATCH(A160,PT_DIFFERENTIATION_VTAR_ID,0))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60" s="5522" t="str">
        <f>INDEX(PT_DIFFERENTIATION_NTAR,MATCH(B160,PT_DIFFERENTIATION_NTAR_ID,0))</f>
        <v>Тариф на тепловую энергию, поставляемую ПАО "ТГК-1" потребителям, расположенным на территории Санкт-Петербурга</v>
      </c>
      <c r="H160" s="1786"/>
      <c r="I160" s="1664"/>
      <c r="J160" s="1698"/>
      <c r="K160" s="1703"/>
      <c r="L160" s="1786" t="s">
        <v>333</v>
      </c>
      <c r="M160" s="52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60" s="271"/>
      <c r="O160" s="1550"/>
      <c r="P160" s="1550"/>
      <c r="AH160" s="1557">
        <v>0</v>
      </c>
    </row>
    <row r="161" spans="1:34" s="1561" customFormat="1" ht="18.75" hidden="1" customHeight="1">
      <c r="A161" s="1705"/>
      <c r="B161" s="1705"/>
      <c r="C161" s="305" t="s">
        <v>1187</v>
      </c>
      <c r="D161" s="5548"/>
      <c r="E161" s="5334"/>
      <c r="F161" s="5485"/>
      <c r="G161" s="5522"/>
      <c r="H161" s="1426"/>
      <c r="I161" s="587" t="s">
        <v>1186</v>
      </c>
      <c r="J161" s="507"/>
      <c r="K161" s="1426"/>
      <c r="L161" s="152"/>
      <c r="M161" s="5282"/>
      <c r="N161" s="271"/>
      <c r="O161" s="1550"/>
      <c r="P161" s="1550"/>
      <c r="AH161" s="1557">
        <v>0</v>
      </c>
    </row>
    <row r="162" spans="1:34" s="1561" customFormat="1" ht="18.75" customHeight="1">
      <c r="A162" s="1747" t="s">
        <v>158</v>
      </c>
      <c r="B162" s="1747" t="s">
        <v>168</v>
      </c>
      <c r="C162" s="1613"/>
      <c r="D162" s="5551"/>
      <c r="E162" s="5555"/>
      <c r="F162" s="5555"/>
      <c r="G162" s="5522" t="str">
        <f>INDEX(PT_DIFFERENTIATION_NTAR,MATCH(B162,PT_DIFFERENTIATION_NTAR_ID,0))</f>
        <v>Тариф на тепловую энергию, поставляемую ПАО "ТГК-1" на коллекторах источников тепловой энергии потребителям, расположенным на территории Санкт-Петербурга</v>
      </c>
      <c r="H162" s="2010"/>
      <c r="I162" s="1664"/>
      <c r="J162" s="1698"/>
      <c r="K162" s="1703"/>
      <c r="L162" s="2010" t="s">
        <v>333</v>
      </c>
      <c r="M162" s="5431"/>
      <c r="N162" s="554"/>
      <c r="O162" s="1550"/>
      <c r="P162" s="1550"/>
      <c r="AH162" s="1561">
        <v>0</v>
      </c>
    </row>
    <row r="163" spans="1:34" s="1561" customFormat="1" ht="18.75" customHeight="1">
      <c r="A163" s="1747"/>
      <c r="B163" s="1747"/>
      <c r="C163" s="1613" t="s">
        <v>1187</v>
      </c>
      <c r="D163" s="5551"/>
      <c r="E163" s="5555"/>
      <c r="F163" s="5555"/>
      <c r="G163" s="5522"/>
      <c r="H163" s="2420"/>
      <c r="I163" s="2421" t="s">
        <v>1186</v>
      </c>
      <c r="J163" s="2422"/>
      <c r="K163" s="2423"/>
      <c r="L163" s="2424"/>
      <c r="M163" s="5431"/>
      <c r="N163" s="554"/>
      <c r="O163" s="1550"/>
      <c r="P163" s="1550"/>
      <c r="AH163" s="1561">
        <v>0</v>
      </c>
    </row>
    <row r="164" spans="1:34" s="1561" customFormat="1" ht="18.75" customHeight="1">
      <c r="A164" s="1747" t="s">
        <v>158</v>
      </c>
      <c r="B164" s="1747" t="s">
        <v>173</v>
      </c>
      <c r="C164" s="1613"/>
      <c r="D164" s="5551"/>
      <c r="E164" s="5555"/>
      <c r="F164" s="5555"/>
      <c r="G164" s="5522" t="str">
        <f>INDEX(PT_DIFFERENTIATION_NTAR,MATCH(B164,PT_DIFFERENTIATION_NTAR_ID,0))</f>
        <v>Тариф на тепловую энергию (мощность), поставляемую ПАО "ТГК-1" теплоснабжающим, теплосетевым организациям, приобретающим тепловую энергию с целью компенсации потерь тепловой энергии</v>
      </c>
      <c r="H164" s="2010"/>
      <c r="I164" s="1664"/>
      <c r="J164" s="1698"/>
      <c r="K164" s="1703"/>
      <c r="L164" s="2010" t="s">
        <v>333</v>
      </c>
      <c r="M164" s="5431"/>
      <c r="N164" s="554"/>
      <c r="O164" s="1550"/>
      <c r="P164" s="1550"/>
      <c r="AH164" s="1561">
        <v>0</v>
      </c>
    </row>
    <row r="165" spans="1:34" s="1561" customFormat="1" ht="18.75" customHeight="1">
      <c r="A165" s="1747"/>
      <c r="B165" s="1747"/>
      <c r="C165" s="1613" t="s">
        <v>1187</v>
      </c>
      <c r="D165" s="5551"/>
      <c r="E165" s="5555"/>
      <c r="F165" s="5555"/>
      <c r="G165" s="5522"/>
      <c r="H165" s="2425"/>
      <c r="I165" s="2426" t="s">
        <v>1186</v>
      </c>
      <c r="J165" s="2427"/>
      <c r="K165" s="2428"/>
      <c r="L165" s="2429"/>
      <c r="M165" s="5431"/>
      <c r="N165" s="554"/>
      <c r="O165" s="1550"/>
      <c r="P165" s="1550"/>
      <c r="AH165" s="1561">
        <v>0</v>
      </c>
    </row>
    <row r="166" spans="1:34" s="1561" customFormat="1" ht="18.75" customHeight="1">
      <c r="A166" s="1747" t="s">
        <v>158</v>
      </c>
      <c r="B166" s="1747" t="s">
        <v>178</v>
      </c>
      <c r="C166" s="1613"/>
      <c r="D166" s="5551"/>
      <c r="E166" s="5555"/>
      <c r="F166" s="5555"/>
      <c r="G166" s="5522" t="str">
        <f>INDEX(PT_DIFFERENTIATION_NTAR,MATCH(B166,PT_DIFFERENTIATION_NTAR_ID,0))</f>
        <v>Льготные тарифы на тепловую энергию, поставляемую ПАО "ТГК-1" потребителям, расположенным на территории Санкт-Петербурга</v>
      </c>
      <c r="H166" s="2010"/>
      <c r="I166" s="1664"/>
      <c r="J166" s="1698"/>
      <c r="K166" s="1703"/>
      <c r="L166" s="2010" t="s">
        <v>333</v>
      </c>
      <c r="M166" s="5431"/>
      <c r="N166" s="554"/>
      <c r="O166" s="1550"/>
      <c r="P166" s="1550"/>
      <c r="AH166" s="1561">
        <v>0</v>
      </c>
    </row>
    <row r="167" spans="1:34" s="1561" customFormat="1" ht="18.75" customHeight="1">
      <c r="A167" s="1747"/>
      <c r="B167" s="1747"/>
      <c r="C167" s="1613" t="s">
        <v>1187</v>
      </c>
      <c r="D167" s="5551"/>
      <c r="E167" s="5555"/>
      <c r="F167" s="5555"/>
      <c r="G167" s="5522"/>
      <c r="H167" s="2430"/>
      <c r="I167" s="2431" t="s">
        <v>1186</v>
      </c>
      <c r="J167" s="2432"/>
      <c r="K167" s="2433"/>
      <c r="L167" s="2434"/>
      <c r="M167" s="5431"/>
      <c r="N167" s="554"/>
      <c r="O167" s="1550"/>
      <c r="P167" s="1550"/>
      <c r="AH167" s="1561">
        <v>0</v>
      </c>
    </row>
    <row r="168" spans="1:34" s="1561" customFormat="1" ht="0.75" hidden="1" customHeight="1">
      <c r="A168" s="1705"/>
      <c r="B168" s="1705"/>
      <c r="C168" s="305" t="s">
        <v>1194</v>
      </c>
      <c r="D168" s="5548"/>
      <c r="E168" s="5334"/>
      <c r="F168" s="5485"/>
      <c r="G168" s="336"/>
      <c r="H168" s="1426"/>
      <c r="I168" s="587"/>
      <c r="J168" s="507"/>
      <c r="K168" s="1426"/>
      <c r="L168" s="152"/>
      <c r="M168" s="5282"/>
      <c r="N168" s="271"/>
      <c r="O168" s="1550"/>
      <c r="P168" s="1550"/>
      <c r="AH168" s="1557">
        <v>0</v>
      </c>
    </row>
    <row r="169" spans="1:34" s="1561" customFormat="1" ht="45" hidden="1" customHeight="1">
      <c r="A169" s="1705" t="s">
        <v>184</v>
      </c>
      <c r="B169" s="1705" t="s">
        <v>185</v>
      </c>
      <c r="C169" s="305"/>
      <c r="D169" s="5548"/>
      <c r="E169" s="5334"/>
      <c r="F169" s="5485" t="str">
        <f>INDEX(PT_DIFFERENTIATION_VTAR,MATCH(A169,PT_DIFFERENTIATION_VTAR_ID,0))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69" s="5522" t="str">
        <f>INDEX(PT_DIFFERENTIATION_NTAR,MATCH(B169,PT_DIFFERENTIATION_NTAR_ID,0))</f>
        <v/>
      </c>
      <c r="H169" s="1786"/>
      <c r="I169" s="1664"/>
      <c r="J169" s="1698"/>
      <c r="K169" s="1703"/>
      <c r="L169" s="1786" t="s">
        <v>333</v>
      </c>
      <c r="M169" s="5283"/>
      <c r="N169" s="271"/>
      <c r="O169" s="1550"/>
      <c r="P169" s="1550"/>
      <c r="AH169" s="1557">
        <v>0</v>
      </c>
    </row>
    <row r="170" spans="1:34" s="1561" customFormat="1" ht="18.75" hidden="1" customHeight="1">
      <c r="A170" s="1705"/>
      <c r="B170" s="1705"/>
      <c r="C170" s="305" t="s">
        <v>1187</v>
      </c>
      <c r="D170" s="5548"/>
      <c r="E170" s="5334"/>
      <c r="F170" s="5485"/>
      <c r="G170" s="5522"/>
      <c r="H170" s="1426"/>
      <c r="I170" s="587" t="s">
        <v>1186</v>
      </c>
      <c r="J170" s="507"/>
      <c r="K170" s="1426"/>
      <c r="L170" s="152"/>
      <c r="M170" s="1785"/>
      <c r="N170" s="271"/>
      <c r="O170" s="1550"/>
      <c r="P170" s="1550"/>
      <c r="AH170" s="1557">
        <v>0</v>
      </c>
    </row>
    <row r="171" spans="1:34" s="1561" customFormat="1" ht="0.75" hidden="1" customHeight="1">
      <c r="A171" s="1705"/>
      <c r="B171" s="1705"/>
      <c r="C171" s="305" t="s">
        <v>1194</v>
      </c>
      <c r="D171" s="5548"/>
      <c r="E171" s="5334"/>
      <c r="F171" s="5485"/>
      <c r="G171" s="336"/>
      <c r="H171" s="1426"/>
      <c r="I171" s="587"/>
      <c r="J171" s="507"/>
      <c r="K171" s="1426"/>
      <c r="L171" s="152"/>
      <c r="M171" s="278"/>
      <c r="N171" s="271"/>
      <c r="O171" s="1550"/>
      <c r="P171" s="1550"/>
      <c r="AH171" s="1557">
        <v>0</v>
      </c>
    </row>
    <row r="172" spans="1:34" s="1561" customFormat="1" ht="45" hidden="1" customHeight="1">
      <c r="A172" s="1705" t="s">
        <v>192</v>
      </c>
      <c r="B172" s="1705" t="s">
        <v>193</v>
      </c>
      <c r="C172" s="305"/>
      <c r="D172" s="5548"/>
      <c r="E172" s="5334"/>
      <c r="F172" s="5485" t="str">
        <f>INDEX(PT_DIFFERENTIATION_VTAR,MATCH(A172,PT_DIFFERENTIATION_VTAR_ID,0))</f>
        <v>Тарифы на теплоноситель, поставляемый теплоснабжающими организациями потребителям, другим теплоснабжающим организациям</v>
      </c>
      <c r="G172" s="5522" t="str">
        <f>INDEX(PT_DIFFERENTIATION_NTAR,MATCH(B172,PT_DIFFERENTIATION_NTAR_ID,0))</f>
        <v>Тариф на теплоноситель, поставляемый ПАО "ТГК-1" потребителям, расположенным на территории Санкт-Петербурга</v>
      </c>
      <c r="H172" s="1786"/>
      <c r="I172" s="1664"/>
      <c r="J172" s="1698"/>
      <c r="K172" s="1703"/>
      <c r="L172" s="1786" t="s">
        <v>333</v>
      </c>
      <c r="M172" s="278"/>
      <c r="N172" s="271"/>
      <c r="O172" s="1550"/>
      <c r="P172" s="1550"/>
      <c r="AH172" s="1557">
        <v>0</v>
      </c>
    </row>
    <row r="173" spans="1:34" s="1561" customFormat="1" ht="18.75" hidden="1" customHeight="1">
      <c r="A173" s="1705"/>
      <c r="B173" s="1705"/>
      <c r="C173" s="305" t="s">
        <v>1187</v>
      </c>
      <c r="D173" s="5548"/>
      <c r="E173" s="5334"/>
      <c r="F173" s="5485"/>
      <c r="G173" s="5522"/>
      <c r="H173" s="1426"/>
      <c r="I173" s="587" t="s">
        <v>1186</v>
      </c>
      <c r="J173" s="507"/>
      <c r="K173" s="1426"/>
      <c r="L173" s="152"/>
      <c r="M173" s="278"/>
      <c r="N173" s="271"/>
      <c r="O173" s="1550"/>
      <c r="P173" s="1550"/>
      <c r="AH173" s="1557">
        <v>0</v>
      </c>
    </row>
    <row r="174" spans="1:34" s="1561" customFormat="1" ht="0.75" hidden="1" customHeight="1">
      <c r="A174" s="1705"/>
      <c r="B174" s="1705"/>
      <c r="C174" s="305" t="s">
        <v>1194</v>
      </c>
      <c r="D174" s="5548"/>
      <c r="E174" s="5334"/>
      <c r="F174" s="5485"/>
      <c r="G174" s="336"/>
      <c r="H174" s="1426"/>
      <c r="I174" s="587"/>
      <c r="J174" s="507"/>
      <c r="K174" s="1426"/>
      <c r="L174" s="152"/>
      <c r="M174" s="278"/>
      <c r="N174" s="271"/>
      <c r="O174" s="1550"/>
      <c r="P174" s="1550"/>
      <c r="AH174" s="1557">
        <v>0</v>
      </c>
    </row>
    <row r="175" spans="1:34" s="1561" customFormat="1" ht="45" hidden="1" customHeight="1">
      <c r="A175" s="1705" t="s">
        <v>200</v>
      </c>
      <c r="B175" s="1705" t="s">
        <v>201</v>
      </c>
      <c r="C175" s="305"/>
      <c r="D175" s="5548"/>
      <c r="E175" s="5334"/>
      <c r="F175" s="5485" t="str">
        <f>INDEX(PT_DIFFERENTIATION_VTAR,MATCH(A175,PT_DIFFERENTIATION_VTAR_ID,0))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75" s="5522" t="str">
        <f>INDEX(PT_DIFFERENTIATION_NTAR,MATCH(B175,PT_DIFFERENTIATION_NTAR_ID,0))</f>
        <v>Тариф на горячую воду (горячее водоснабжение), поставляемую ПАО "ТГК-1" в открытых системах теплоснабжения потребителям, расположенным на территории Санкт-Петербурга</v>
      </c>
      <c r="H175" s="1786"/>
      <c r="I175" s="1664"/>
      <c r="J175" s="1698"/>
      <c r="K175" s="1703"/>
      <c r="L175" s="1786" t="s">
        <v>333</v>
      </c>
      <c r="M175" s="278"/>
      <c r="N175" s="271"/>
      <c r="O175" s="1550"/>
      <c r="P175" s="1550"/>
      <c r="AH175" s="1557">
        <v>0</v>
      </c>
    </row>
    <row r="176" spans="1:34" s="1561" customFormat="1" ht="18.75" hidden="1" customHeight="1">
      <c r="A176" s="1705"/>
      <c r="B176" s="1705"/>
      <c r="C176" s="305" t="s">
        <v>1187</v>
      </c>
      <c r="D176" s="5548"/>
      <c r="E176" s="5334"/>
      <c r="F176" s="5485"/>
      <c r="G176" s="5522"/>
      <c r="H176" s="1426"/>
      <c r="I176" s="587" t="s">
        <v>1186</v>
      </c>
      <c r="J176" s="507"/>
      <c r="K176" s="1426"/>
      <c r="L176" s="152"/>
      <c r="M176" s="278"/>
      <c r="N176" s="271"/>
      <c r="O176" s="1550"/>
      <c r="P176" s="1550"/>
      <c r="AH176" s="1557">
        <v>0</v>
      </c>
    </row>
    <row r="177" spans="1:34" s="1561" customFormat="1" ht="0.75" hidden="1" customHeight="1">
      <c r="A177" s="1705"/>
      <c r="B177" s="1705"/>
      <c r="C177" s="305" t="s">
        <v>1194</v>
      </c>
      <c r="D177" s="5548"/>
      <c r="E177" s="5334"/>
      <c r="F177" s="5485"/>
      <c r="G177" s="336"/>
      <c r="H177" s="1426"/>
      <c r="I177" s="587"/>
      <c r="J177" s="507"/>
      <c r="K177" s="1426"/>
      <c r="L177" s="152"/>
      <c r="M177" s="278"/>
      <c r="N177" s="271"/>
      <c r="O177" s="1550"/>
      <c r="P177" s="1550"/>
      <c r="AH177" s="1557">
        <v>0</v>
      </c>
    </row>
    <row r="178" spans="1:34" s="1561" customFormat="1" ht="18.75" hidden="1" customHeight="1">
      <c r="A178" s="1705" t="s">
        <v>206</v>
      </c>
      <c r="B178" s="1705" t="s">
        <v>207</v>
      </c>
      <c r="C178" s="305"/>
      <c r="D178" s="5548"/>
      <c r="E178" s="5334"/>
      <c r="F178" s="5485" t="str">
        <f>INDEX(PT_DIFFERENTIATION_VTAR,MATCH(A178,PT_DIFFERENTIATION_VTAR_ID,0))</f>
        <v>Тарифы на услуги по передаче тепловой энергии</v>
      </c>
      <c r="G178" s="5522" t="str">
        <f>INDEX(PT_DIFFERENTIATION_NTAR,MATCH(B178,PT_DIFFERENTIATION_NTAR_ID,0))</f>
        <v/>
      </c>
      <c r="H178" s="1786"/>
      <c r="I178" s="1664"/>
      <c r="J178" s="1698"/>
      <c r="K178" s="1703"/>
      <c r="L178" s="1786" t="s">
        <v>333</v>
      </c>
      <c r="M178" s="278"/>
      <c r="N178" s="271"/>
      <c r="O178" s="1550"/>
      <c r="P178" s="1550"/>
      <c r="AH178" s="1557">
        <v>0</v>
      </c>
    </row>
    <row r="179" spans="1:34" s="1561" customFormat="1" ht="18.75" hidden="1" customHeight="1">
      <c r="A179" s="1705"/>
      <c r="B179" s="1705"/>
      <c r="C179" s="305" t="s">
        <v>1187</v>
      </c>
      <c r="D179" s="5548"/>
      <c r="E179" s="5334"/>
      <c r="F179" s="5485"/>
      <c r="G179" s="5522"/>
      <c r="H179" s="1426"/>
      <c r="I179" s="587" t="s">
        <v>1186</v>
      </c>
      <c r="J179" s="507"/>
      <c r="K179" s="1426"/>
      <c r="L179" s="152"/>
      <c r="M179" s="278"/>
      <c r="N179" s="271"/>
      <c r="O179" s="1550"/>
      <c r="P179" s="1550"/>
      <c r="AH179" s="1557">
        <v>0</v>
      </c>
    </row>
    <row r="180" spans="1:34" s="1561" customFormat="1" ht="0.75" hidden="1" customHeight="1">
      <c r="A180" s="1705"/>
      <c r="B180" s="1705"/>
      <c r="C180" s="305" t="s">
        <v>1194</v>
      </c>
      <c r="D180" s="5548"/>
      <c r="E180" s="5334"/>
      <c r="F180" s="5485"/>
      <c r="G180" s="336"/>
      <c r="H180" s="1426"/>
      <c r="I180" s="587"/>
      <c r="J180" s="507"/>
      <c r="K180" s="1426"/>
      <c r="L180" s="152"/>
      <c r="M180" s="278"/>
      <c r="N180" s="271"/>
      <c r="O180" s="1550"/>
      <c r="P180" s="1550"/>
      <c r="AH180" s="1557">
        <v>0</v>
      </c>
    </row>
    <row r="181" spans="1:34" s="1561" customFormat="1" ht="18.75" hidden="1" customHeight="1">
      <c r="A181" s="1705" t="s">
        <v>212</v>
      </c>
      <c r="B181" s="1705" t="s">
        <v>213</v>
      </c>
      <c r="C181" s="305"/>
      <c r="D181" s="5548"/>
      <c r="E181" s="5334"/>
      <c r="F181" s="5485" t="str">
        <f>INDEX(PT_DIFFERENTIATION_VTAR,MATCH(A181,PT_DIFFERENTIATION_VTAR_ID,0))</f>
        <v>Тарифы на услуги по передаче теплоносителя</v>
      </c>
      <c r="G181" s="5522" t="str">
        <f>INDEX(PT_DIFFERENTIATION_NTAR,MATCH(B181,PT_DIFFERENTIATION_NTAR_ID,0))</f>
        <v/>
      </c>
      <c r="H181" s="1786"/>
      <c r="I181" s="1664"/>
      <c r="J181" s="1698"/>
      <c r="K181" s="1703"/>
      <c r="L181" s="1786" t="s">
        <v>333</v>
      </c>
      <c r="M181" s="278"/>
      <c r="N181" s="271"/>
      <c r="O181" s="1550"/>
      <c r="P181" s="1550"/>
      <c r="AH181" s="1557">
        <v>0</v>
      </c>
    </row>
    <row r="182" spans="1:34" s="1561" customFormat="1" ht="18.75" hidden="1" customHeight="1">
      <c r="A182" s="1705"/>
      <c r="B182" s="1705"/>
      <c r="C182" s="305" t="s">
        <v>1187</v>
      </c>
      <c r="D182" s="5548"/>
      <c r="E182" s="5334"/>
      <c r="F182" s="5485"/>
      <c r="G182" s="5522"/>
      <c r="H182" s="1426"/>
      <c r="I182" s="587" t="s">
        <v>1186</v>
      </c>
      <c r="J182" s="507"/>
      <c r="K182" s="1426"/>
      <c r="L182" s="152"/>
      <c r="M182" s="278"/>
      <c r="N182" s="271"/>
      <c r="O182" s="1550"/>
      <c r="P182" s="1550"/>
      <c r="AH182" s="1557">
        <v>0</v>
      </c>
    </row>
    <row r="183" spans="1:34" s="1561" customFormat="1" ht="0.75" hidden="1" customHeight="1">
      <c r="A183" s="1705"/>
      <c r="B183" s="1705"/>
      <c r="C183" s="305" t="s">
        <v>1194</v>
      </c>
      <c r="D183" s="5548"/>
      <c r="E183" s="5334"/>
      <c r="F183" s="5485"/>
      <c r="G183" s="336"/>
      <c r="H183" s="1426"/>
      <c r="I183" s="587"/>
      <c r="J183" s="507"/>
      <c r="K183" s="1426"/>
      <c r="L183" s="152"/>
      <c r="M183" s="278"/>
      <c r="N183" s="271"/>
      <c r="O183" s="1550"/>
      <c r="P183" s="1550"/>
      <c r="AH183" s="1557">
        <v>0</v>
      </c>
    </row>
    <row r="184" spans="1:34" s="1561" customFormat="1" ht="18.75" hidden="1" customHeight="1">
      <c r="A184" s="1705" t="s">
        <v>220</v>
      </c>
      <c r="B184" s="1705" t="s">
        <v>221</v>
      </c>
      <c r="C184" s="305"/>
      <c r="D184" s="5548"/>
      <c r="E184" s="5334"/>
      <c r="F184" s="5485" t="str">
        <f>INDEX(PT_DIFFERENTIATION_VTAR,MATCH(A184,PT_DIFFERENTIATION_VTAR_ID,0))</f>
        <v>Плата за услуги по поддержанию резервной тепловой мощности при отсутствии потребления тепловой энергии</v>
      </c>
      <c r="G184" s="5522" t="str">
        <f>INDEX(PT_DIFFERENTIATION_NTAR,MATCH(B184,PT_DIFFERENTIATION_NTAR_ID,0))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184" s="1786"/>
      <c r="I184" s="1664"/>
      <c r="J184" s="1698"/>
      <c r="K184" s="1703"/>
      <c r="L184" s="1786" t="s">
        <v>333</v>
      </c>
      <c r="M184" s="278"/>
      <c r="N184" s="271"/>
      <c r="O184" s="1550"/>
      <c r="P184" s="1550"/>
      <c r="AH184" s="1557">
        <v>0</v>
      </c>
    </row>
    <row r="185" spans="1:34" s="1561" customFormat="1" ht="18.75" hidden="1" customHeight="1">
      <c r="A185" s="1705"/>
      <c r="B185" s="1705"/>
      <c r="C185" s="305" t="s">
        <v>1187</v>
      </c>
      <c r="D185" s="5548"/>
      <c r="E185" s="5334"/>
      <c r="F185" s="5485"/>
      <c r="G185" s="5522"/>
      <c r="H185" s="1426"/>
      <c r="I185" s="587" t="s">
        <v>1186</v>
      </c>
      <c r="J185" s="507"/>
      <c r="K185" s="1426"/>
      <c r="L185" s="152"/>
      <c r="M185" s="278"/>
      <c r="N185" s="271"/>
      <c r="O185" s="1550"/>
      <c r="P185" s="1550"/>
      <c r="AH185" s="1557">
        <v>0</v>
      </c>
    </row>
    <row r="186" spans="1:34" s="1561" customFormat="1" ht="0.75" hidden="1" customHeight="1">
      <c r="A186" s="1705"/>
      <c r="B186" s="1705"/>
      <c r="C186" s="305" t="s">
        <v>1194</v>
      </c>
      <c r="D186" s="5548"/>
      <c r="E186" s="5334"/>
      <c r="F186" s="5485"/>
      <c r="G186" s="336"/>
      <c r="H186" s="1426"/>
      <c r="I186" s="587"/>
      <c r="J186" s="507"/>
      <c r="K186" s="1426"/>
      <c r="L186" s="152"/>
      <c r="M186" s="278"/>
      <c r="N186" s="271"/>
      <c r="O186" s="1550"/>
      <c r="P186" s="1550"/>
      <c r="AH186" s="1557">
        <v>0</v>
      </c>
    </row>
    <row r="187" spans="1:34" s="1561" customFormat="1" ht="18.75" hidden="1" customHeight="1">
      <c r="A187" s="1705" t="s">
        <v>226</v>
      </c>
      <c r="B187" s="1705" t="s">
        <v>227</v>
      </c>
      <c r="C187" s="305"/>
      <c r="D187" s="5548"/>
      <c r="E187" s="5334"/>
      <c r="F187" s="5485" t="str">
        <f>INDEX(PT_DIFFERENTIATION_VTAR,MATCH(A187,PT_DIFFERENTIATION_VTAR_ID,0))</f>
        <v>Плата за подключение (технологическое присоединение) к системе теплоснабжения</v>
      </c>
      <c r="G187" s="5522" t="str">
        <f>INDEX(PT_DIFFERENTIATION_NTAR,MATCH(B187,PT_DIFFERENTIATION_NTAR_ID,0))</f>
        <v/>
      </c>
      <c r="H187" s="1786"/>
      <c r="I187" s="1664"/>
      <c r="J187" s="1698"/>
      <c r="K187" s="1703"/>
      <c r="L187" s="1786" t="s">
        <v>333</v>
      </c>
      <c r="M187" s="278"/>
      <c r="N187" s="271"/>
      <c r="O187" s="1550"/>
      <c r="P187" s="1550"/>
      <c r="AH187" s="1557">
        <v>0</v>
      </c>
    </row>
    <row r="188" spans="1:34" s="1561" customFormat="1" ht="18.75" hidden="1" customHeight="1">
      <c r="A188" s="1705"/>
      <c r="B188" s="1705"/>
      <c r="C188" s="305" t="s">
        <v>1187</v>
      </c>
      <c r="D188" s="5548"/>
      <c r="E188" s="5334"/>
      <c r="F188" s="5485"/>
      <c r="G188" s="5522"/>
      <c r="H188" s="1426"/>
      <c r="I188" s="587" t="s">
        <v>1186</v>
      </c>
      <c r="J188" s="507"/>
      <c r="K188" s="1426"/>
      <c r="L188" s="152"/>
      <c r="M188" s="278"/>
      <c r="N188" s="271"/>
      <c r="O188" s="1550"/>
      <c r="P188" s="1550"/>
      <c r="AH188" s="1557">
        <v>0</v>
      </c>
    </row>
    <row r="189" spans="1:34" s="1561" customFormat="1" ht="0.75" hidden="1" customHeight="1">
      <c r="A189" s="1705"/>
      <c r="B189" s="1705"/>
      <c r="C189" s="305" t="s">
        <v>1194</v>
      </c>
      <c r="D189" s="5548"/>
      <c r="E189" s="5334"/>
      <c r="F189" s="5485"/>
      <c r="G189" s="336"/>
      <c r="H189" s="1426"/>
      <c r="I189" s="587"/>
      <c r="J189" s="507"/>
      <c r="K189" s="1426"/>
      <c r="L189" s="152"/>
      <c r="M189" s="278"/>
      <c r="N189" s="271"/>
      <c r="O189" s="1550"/>
      <c r="P189" s="1550"/>
      <c r="AH189" s="1557">
        <v>0</v>
      </c>
    </row>
    <row r="190" spans="1:34" s="1561" customFormat="1" ht="18.75" hidden="1" customHeight="1">
      <c r="A190" s="1705" t="s">
        <v>232</v>
      </c>
      <c r="B190" s="1705" t="s">
        <v>233</v>
      </c>
      <c r="C190" s="305"/>
      <c r="D190" s="5548"/>
      <c r="E190" s="5334"/>
      <c r="F190" s="5485" t="str">
        <f>INDEX(PT_DIFFERENTIATION_VTAR,MATCH(A190,PT_DIFFERENTIATION_VTAR_ID,0))</f>
        <v>Плата за подключение (технологическое присоединение) к системе теплоснабжения (индивидуальная)</v>
      </c>
      <c r="G190" s="5522" t="str">
        <f>INDEX(PT_DIFFERENTIATION_NTAR,MATCH(B190,PT_DIFFERENTIATION_NTAR_ID,0))</f>
        <v/>
      </c>
      <c r="H190" s="1910"/>
      <c r="I190" s="1664"/>
      <c r="J190" s="1698"/>
      <c r="K190" s="1703"/>
      <c r="L190" s="1910" t="s">
        <v>333</v>
      </c>
      <c r="M190" s="278"/>
      <c r="N190" s="271"/>
      <c r="O190" s="1550"/>
      <c r="P190" s="1550"/>
      <c r="AH190" s="1557">
        <v>0</v>
      </c>
    </row>
    <row r="191" spans="1:34" s="1561" customFormat="1" ht="18.75" hidden="1" customHeight="1">
      <c r="A191" s="1705"/>
      <c r="B191" s="1705"/>
      <c r="C191" s="305" t="s">
        <v>1187</v>
      </c>
      <c r="D191" s="5548"/>
      <c r="E191" s="5334"/>
      <c r="F191" s="5485"/>
      <c r="G191" s="5522"/>
      <c r="H191" s="1426"/>
      <c r="I191" s="587" t="s">
        <v>1186</v>
      </c>
      <c r="J191" s="507"/>
      <c r="K191" s="1426"/>
      <c r="L191" s="152"/>
      <c r="M191" s="278"/>
      <c r="N191" s="271"/>
      <c r="O191" s="1550"/>
      <c r="P191" s="1550"/>
      <c r="AH191" s="1557">
        <v>0</v>
      </c>
    </row>
    <row r="192" spans="1:34" s="1561" customFormat="1" ht="0.75" hidden="1" customHeight="1">
      <c r="A192" s="1705"/>
      <c r="B192" s="1705"/>
      <c r="C192" s="305" t="s">
        <v>1194</v>
      </c>
      <c r="D192" s="5548"/>
      <c r="E192" s="5334"/>
      <c r="F192" s="5485"/>
      <c r="G192" s="336"/>
      <c r="H192" s="1426"/>
      <c r="I192" s="587"/>
      <c r="J192" s="507"/>
      <c r="K192" s="1426"/>
      <c r="L192" s="152"/>
      <c r="M192" s="278"/>
      <c r="N192" s="271"/>
      <c r="O192" s="1550"/>
      <c r="P192" s="1550"/>
      <c r="AH192" s="1557">
        <v>0</v>
      </c>
    </row>
    <row r="193" spans="1:34" s="1561" customFormat="1" ht="18.75" hidden="1" customHeight="1">
      <c r="A193" s="1705" t="s">
        <v>252</v>
      </c>
      <c r="B193" s="1705" t="s">
        <v>253</v>
      </c>
      <c r="C193" s="305"/>
      <c r="D193" s="5548"/>
      <c r="E193" s="5334"/>
      <c r="F193" s="5485" t="str">
        <f>INDEX(PT_DIFFERENTIATION_VTAR,MATCH(A193,PT_DIFFERENTIATION_VTAR_ID,0))</f>
        <v>Тариф на питьевую воду (питьевое водоснабжение)</v>
      </c>
      <c r="G193" s="5522" t="str">
        <f>INDEX(PT_DIFFERENTIATION_NTAR,MATCH(B193,PT_DIFFERENTIATION_NTAR_ID,0))</f>
        <v/>
      </c>
      <c r="H193" s="1786"/>
      <c r="I193" s="1664"/>
      <c r="J193" s="1698"/>
      <c r="K193" s="1703"/>
      <c r="L193" s="1786" t="s">
        <v>333</v>
      </c>
      <c r="M193" s="278"/>
      <c r="N193" s="271"/>
      <c r="O193" s="1550"/>
      <c r="P193" s="1550"/>
      <c r="AH193" s="1557">
        <v>0</v>
      </c>
    </row>
    <row r="194" spans="1:34" s="1561" customFormat="1" ht="18.75" hidden="1" customHeight="1">
      <c r="A194" s="1705"/>
      <c r="B194" s="1705"/>
      <c r="C194" s="305" t="s">
        <v>1187</v>
      </c>
      <c r="D194" s="5548"/>
      <c r="E194" s="5334"/>
      <c r="F194" s="5485"/>
      <c r="G194" s="5522"/>
      <c r="H194" s="1426"/>
      <c r="I194" s="587" t="s">
        <v>1186</v>
      </c>
      <c r="J194" s="507"/>
      <c r="K194" s="1426"/>
      <c r="L194" s="152"/>
      <c r="M194" s="278"/>
      <c r="N194" s="271"/>
      <c r="O194" s="1550"/>
      <c r="P194" s="1550"/>
      <c r="AH194" s="1557">
        <v>0</v>
      </c>
    </row>
    <row r="195" spans="1:34" s="1561" customFormat="1" ht="0.75" hidden="1" customHeight="1">
      <c r="A195" s="1705"/>
      <c r="B195" s="1705"/>
      <c r="C195" s="305" t="s">
        <v>1194</v>
      </c>
      <c r="D195" s="5548"/>
      <c r="E195" s="5334"/>
      <c r="F195" s="5485"/>
      <c r="G195" s="336"/>
      <c r="H195" s="1426"/>
      <c r="I195" s="587"/>
      <c r="J195" s="507"/>
      <c r="K195" s="1426"/>
      <c r="L195" s="152"/>
      <c r="M195" s="278"/>
      <c r="N195" s="271"/>
      <c r="O195" s="1550"/>
      <c r="P195" s="1550"/>
      <c r="AH195" s="1557">
        <v>0</v>
      </c>
    </row>
    <row r="196" spans="1:34" s="1561" customFormat="1" ht="18.75" hidden="1" customHeight="1">
      <c r="A196" s="1705" t="s">
        <v>257</v>
      </c>
      <c r="B196" s="1705" t="s">
        <v>258</v>
      </c>
      <c r="C196" s="305"/>
      <c r="D196" s="5548"/>
      <c r="E196" s="5334"/>
      <c r="F196" s="5485" t="str">
        <f>INDEX(PT_DIFFERENTIATION_VTAR,MATCH(A196,PT_DIFFERENTIATION_VTAR_ID,0))</f>
        <v>Тариф на техническую воду</v>
      </c>
      <c r="G196" s="5522" t="str">
        <f>INDEX(PT_DIFFERENTIATION_NTAR,MATCH(B196,PT_DIFFERENTIATION_NTAR_ID,0))</f>
        <v/>
      </c>
      <c r="H196" s="1786"/>
      <c r="I196" s="1664"/>
      <c r="J196" s="1698"/>
      <c r="K196" s="1703"/>
      <c r="L196" s="1786" t="s">
        <v>333</v>
      </c>
      <c r="M196" s="278"/>
      <c r="N196" s="271"/>
      <c r="O196" s="1550"/>
      <c r="P196" s="1550"/>
      <c r="AH196" s="1557">
        <v>0</v>
      </c>
    </row>
    <row r="197" spans="1:34" s="1561" customFormat="1" ht="18.75" hidden="1" customHeight="1">
      <c r="A197" s="1705"/>
      <c r="B197" s="1705"/>
      <c r="C197" s="305" t="s">
        <v>1187</v>
      </c>
      <c r="D197" s="5548"/>
      <c r="E197" s="5334"/>
      <c r="F197" s="5485"/>
      <c r="G197" s="5522"/>
      <c r="H197" s="1426"/>
      <c r="I197" s="587" t="s">
        <v>1186</v>
      </c>
      <c r="J197" s="507"/>
      <c r="K197" s="1426"/>
      <c r="L197" s="152"/>
      <c r="M197" s="278"/>
      <c r="N197" s="271"/>
      <c r="O197" s="1550"/>
      <c r="P197" s="1550"/>
      <c r="AH197" s="1557">
        <v>0</v>
      </c>
    </row>
    <row r="198" spans="1:34" s="1561" customFormat="1" ht="0.75" hidden="1" customHeight="1">
      <c r="A198" s="1705"/>
      <c r="B198" s="1705"/>
      <c r="C198" s="305" t="s">
        <v>1194</v>
      </c>
      <c r="D198" s="5548"/>
      <c r="E198" s="5334"/>
      <c r="F198" s="5485"/>
      <c r="G198" s="336"/>
      <c r="H198" s="1426"/>
      <c r="I198" s="587"/>
      <c r="J198" s="507"/>
      <c r="K198" s="1426"/>
      <c r="L198" s="152"/>
      <c r="M198" s="278"/>
      <c r="N198" s="271"/>
      <c r="O198" s="1550"/>
      <c r="P198" s="1550"/>
      <c r="AH198" s="1557">
        <v>0</v>
      </c>
    </row>
    <row r="199" spans="1:34" s="1561" customFormat="1" ht="18.75" hidden="1" customHeight="1">
      <c r="A199" s="1705" t="s">
        <v>262</v>
      </c>
      <c r="B199" s="1705" t="s">
        <v>263</v>
      </c>
      <c r="C199" s="305"/>
      <c r="D199" s="5548"/>
      <c r="E199" s="5334"/>
      <c r="F199" s="5485" t="str">
        <f>INDEX(PT_DIFFERENTIATION_VTAR,MATCH(A199,PT_DIFFERENTIATION_VTAR_ID,0))</f>
        <v>Тариф на транспортировку воды</v>
      </c>
      <c r="G199" s="5522" t="str">
        <f>INDEX(PT_DIFFERENTIATION_NTAR,MATCH(B199,PT_DIFFERENTIATION_NTAR_ID,0))</f>
        <v/>
      </c>
      <c r="H199" s="1786"/>
      <c r="I199" s="1664"/>
      <c r="J199" s="1698"/>
      <c r="K199" s="1703"/>
      <c r="L199" s="1786" t="s">
        <v>333</v>
      </c>
      <c r="M199" s="278"/>
      <c r="N199" s="271"/>
      <c r="O199" s="1550"/>
      <c r="P199" s="1550"/>
      <c r="AH199" s="1557">
        <v>0</v>
      </c>
    </row>
    <row r="200" spans="1:34" s="1561" customFormat="1" ht="18.75" hidden="1" customHeight="1">
      <c r="A200" s="1705"/>
      <c r="B200" s="1705"/>
      <c r="C200" s="305" t="s">
        <v>1187</v>
      </c>
      <c r="D200" s="5548"/>
      <c r="E200" s="5334"/>
      <c r="F200" s="5485"/>
      <c r="G200" s="5522"/>
      <c r="H200" s="1426"/>
      <c r="I200" s="587" t="s">
        <v>1186</v>
      </c>
      <c r="J200" s="507"/>
      <c r="K200" s="1426"/>
      <c r="L200" s="152"/>
      <c r="M200" s="278"/>
      <c r="N200" s="271"/>
      <c r="O200" s="1550"/>
      <c r="P200" s="1550"/>
      <c r="AH200" s="1557">
        <v>0</v>
      </c>
    </row>
    <row r="201" spans="1:34" s="1561" customFormat="1" ht="0.75" hidden="1" customHeight="1">
      <c r="A201" s="1705"/>
      <c r="B201" s="1705"/>
      <c r="C201" s="305" t="s">
        <v>1194</v>
      </c>
      <c r="D201" s="5548"/>
      <c r="E201" s="5334"/>
      <c r="F201" s="5485"/>
      <c r="G201" s="336"/>
      <c r="H201" s="1426"/>
      <c r="I201" s="587"/>
      <c r="J201" s="507"/>
      <c r="K201" s="1426"/>
      <c r="L201" s="152"/>
      <c r="M201" s="278"/>
      <c r="N201" s="271"/>
      <c r="O201" s="1550"/>
      <c r="P201" s="1550"/>
      <c r="AH201" s="1557">
        <v>0</v>
      </c>
    </row>
    <row r="202" spans="1:34" s="1561" customFormat="1" ht="18.75" hidden="1" customHeight="1">
      <c r="A202" s="1705" t="s">
        <v>267</v>
      </c>
      <c r="B202" s="1705" t="s">
        <v>268</v>
      </c>
      <c r="C202" s="305"/>
      <c r="D202" s="5548"/>
      <c r="E202" s="5334"/>
      <c r="F202" s="5485" t="str">
        <f>INDEX(PT_DIFFERENTIATION_VTAR,MATCH(A202,PT_DIFFERENTIATION_VTAR_ID,0))</f>
        <v>Тариф на подвоз воды</v>
      </c>
      <c r="G202" s="5522" t="str">
        <f>INDEX(PT_DIFFERENTIATION_NTAR,MATCH(B202,PT_DIFFERENTIATION_NTAR_ID,0))</f>
        <v/>
      </c>
      <c r="H202" s="1786"/>
      <c r="I202" s="1664"/>
      <c r="J202" s="1698"/>
      <c r="K202" s="1703"/>
      <c r="L202" s="1786" t="s">
        <v>333</v>
      </c>
      <c r="M202" s="278"/>
      <c r="N202" s="271"/>
      <c r="O202" s="1550"/>
      <c r="P202" s="1550"/>
      <c r="AH202" s="1557">
        <v>0</v>
      </c>
    </row>
    <row r="203" spans="1:34" s="1561" customFormat="1" ht="18.75" hidden="1" customHeight="1">
      <c r="A203" s="1705"/>
      <c r="B203" s="1705"/>
      <c r="C203" s="305" t="s">
        <v>1187</v>
      </c>
      <c r="D203" s="5548"/>
      <c r="E203" s="5334"/>
      <c r="F203" s="5485"/>
      <c r="G203" s="5522"/>
      <c r="H203" s="1426"/>
      <c r="I203" s="587" t="s">
        <v>1186</v>
      </c>
      <c r="J203" s="507"/>
      <c r="K203" s="1426"/>
      <c r="L203" s="152"/>
      <c r="M203" s="278"/>
      <c r="N203" s="271"/>
      <c r="O203" s="1550"/>
      <c r="P203" s="1550"/>
      <c r="AH203" s="1557">
        <v>0</v>
      </c>
    </row>
    <row r="204" spans="1:34" s="1561" customFormat="1" ht="0.75" hidden="1" customHeight="1">
      <c r="A204" s="1705"/>
      <c r="B204" s="1705"/>
      <c r="C204" s="305" t="s">
        <v>1194</v>
      </c>
      <c r="D204" s="5548"/>
      <c r="E204" s="5334"/>
      <c r="F204" s="5485"/>
      <c r="G204" s="336"/>
      <c r="H204" s="1426"/>
      <c r="I204" s="587"/>
      <c r="J204" s="507"/>
      <c r="K204" s="1426"/>
      <c r="L204" s="152"/>
      <c r="M204" s="278"/>
      <c r="N204" s="271"/>
      <c r="O204" s="1550"/>
      <c r="P204" s="1550"/>
      <c r="AH204" s="1557">
        <v>0</v>
      </c>
    </row>
    <row r="205" spans="1:34" s="1561" customFormat="1" ht="18.75" hidden="1" customHeight="1">
      <c r="A205" s="1705" t="s">
        <v>272</v>
      </c>
      <c r="B205" s="1705" t="s">
        <v>273</v>
      </c>
      <c r="C205" s="305"/>
      <c r="D205" s="5548"/>
      <c r="E205" s="5334"/>
      <c r="F205" s="5485" t="str">
        <f>INDEX(PT_DIFFERENTIATION_VTAR,MATCH(A205,PT_DIFFERENTIATION_VTAR_ID,0))</f>
        <v>Тариф на подключение (технологическое присоединение) к централизованной системе холодного водоснабжения</v>
      </c>
      <c r="G205" s="5522" t="str">
        <f>INDEX(PT_DIFFERENTIATION_NTAR,MATCH(B205,PT_DIFFERENTIATION_NTAR_ID,0))</f>
        <v/>
      </c>
      <c r="H205" s="1786"/>
      <c r="I205" s="1664"/>
      <c r="J205" s="1698"/>
      <c r="K205" s="1703"/>
      <c r="L205" s="1786" t="s">
        <v>333</v>
      </c>
      <c r="M205" s="278"/>
      <c r="N205" s="271"/>
      <c r="O205" s="1550"/>
      <c r="P205" s="1550"/>
      <c r="AH205" s="1557">
        <v>0</v>
      </c>
    </row>
    <row r="206" spans="1:34" s="1561" customFormat="1" ht="18.75" hidden="1" customHeight="1">
      <c r="A206" s="1705"/>
      <c r="B206" s="1705"/>
      <c r="C206" s="305" t="s">
        <v>1187</v>
      </c>
      <c r="D206" s="5548"/>
      <c r="E206" s="5334"/>
      <c r="F206" s="5485"/>
      <c r="G206" s="5522"/>
      <c r="H206" s="1426"/>
      <c r="I206" s="587" t="s">
        <v>1186</v>
      </c>
      <c r="J206" s="507"/>
      <c r="K206" s="1426"/>
      <c r="L206" s="152"/>
      <c r="M206" s="278"/>
      <c r="N206" s="271"/>
      <c r="O206" s="1550"/>
      <c r="P206" s="1550"/>
      <c r="AH206" s="1557">
        <v>0</v>
      </c>
    </row>
    <row r="207" spans="1:34" s="1561" customFormat="1" ht="0.75" hidden="1" customHeight="1">
      <c r="A207" s="1705"/>
      <c r="B207" s="1705"/>
      <c r="C207" s="305" t="s">
        <v>1194</v>
      </c>
      <c r="D207" s="5548"/>
      <c r="E207" s="5334"/>
      <c r="F207" s="5485"/>
      <c r="G207" s="336"/>
      <c r="H207" s="1426"/>
      <c r="I207" s="587"/>
      <c r="J207" s="507"/>
      <c r="K207" s="1426"/>
      <c r="L207" s="152"/>
      <c r="M207" s="278"/>
      <c r="N207" s="271"/>
      <c r="O207" s="1550"/>
      <c r="P207" s="1550"/>
      <c r="AH207" s="1557">
        <v>0</v>
      </c>
    </row>
    <row r="208" spans="1:34" s="1561" customFormat="1" ht="18.75" hidden="1" customHeight="1">
      <c r="A208" s="1705" t="s">
        <v>277</v>
      </c>
      <c r="B208" s="1705" t="s">
        <v>278</v>
      </c>
      <c r="C208" s="305"/>
      <c r="D208" s="5548"/>
      <c r="E208" s="5334"/>
      <c r="F208" s="5485" t="str">
        <f>INDEX(PT_DIFFERENTIATION_VTAR,MATCH(A208,PT_DIFFERENTIATION_VTAR_ID,0))</f>
        <v>Тариф на горячую воду (горячее водоснабжение)</v>
      </c>
      <c r="G208" s="5522" t="str">
        <f>INDEX(PT_DIFFERENTIATION_NTAR,MATCH(B208,PT_DIFFERENTIATION_NTAR_ID,0))</f>
        <v/>
      </c>
      <c r="H208" s="1786"/>
      <c r="I208" s="1664"/>
      <c r="J208" s="1698"/>
      <c r="K208" s="1703"/>
      <c r="L208" s="1786" t="s">
        <v>333</v>
      </c>
      <c r="M208" s="278"/>
      <c r="N208" s="271"/>
      <c r="O208" s="1550"/>
      <c r="P208" s="1550"/>
      <c r="AH208" s="1557">
        <v>0</v>
      </c>
    </row>
    <row r="209" spans="1:34" s="1561" customFormat="1" ht="18.75" hidden="1" customHeight="1">
      <c r="A209" s="1705"/>
      <c r="B209" s="1705"/>
      <c r="C209" s="305" t="s">
        <v>1187</v>
      </c>
      <c r="D209" s="5548"/>
      <c r="E209" s="5334"/>
      <c r="F209" s="5485"/>
      <c r="G209" s="5522"/>
      <c r="H209" s="1426"/>
      <c r="I209" s="587" t="s">
        <v>1186</v>
      </c>
      <c r="J209" s="507"/>
      <c r="K209" s="1426"/>
      <c r="L209" s="152"/>
      <c r="M209" s="278"/>
      <c r="N209" s="271"/>
      <c r="O209" s="1550"/>
      <c r="P209" s="1550"/>
      <c r="AH209" s="1557">
        <v>0</v>
      </c>
    </row>
    <row r="210" spans="1:34" s="1561" customFormat="1" ht="0.75" hidden="1" customHeight="1">
      <c r="A210" s="1705"/>
      <c r="B210" s="1705"/>
      <c r="C210" s="305" t="s">
        <v>1194</v>
      </c>
      <c r="D210" s="5548"/>
      <c r="E210" s="5334"/>
      <c r="F210" s="5485"/>
      <c r="G210" s="336"/>
      <c r="H210" s="1426"/>
      <c r="I210" s="587"/>
      <c r="J210" s="507"/>
      <c r="K210" s="1426"/>
      <c r="L210" s="152"/>
      <c r="M210" s="278"/>
      <c r="N210" s="271"/>
      <c r="O210" s="1550"/>
      <c r="P210" s="1550"/>
      <c r="AH210" s="1557">
        <v>0</v>
      </c>
    </row>
    <row r="211" spans="1:34" s="1561" customFormat="1" ht="18.75" hidden="1" customHeight="1">
      <c r="A211" s="1705" t="s">
        <v>282</v>
      </c>
      <c r="B211" s="1705" t="s">
        <v>283</v>
      </c>
      <c r="C211" s="305"/>
      <c r="D211" s="5548"/>
      <c r="E211" s="5334"/>
      <c r="F211" s="5485" t="str">
        <f>INDEX(PT_DIFFERENTIATION_VTAR,MATCH(A211,PT_DIFFERENTIATION_VTAR_ID,0))</f>
        <v>Тариф на транспортировку горячей воды</v>
      </c>
      <c r="G211" s="5522" t="str">
        <f>INDEX(PT_DIFFERENTIATION_NTAR,MATCH(B211,PT_DIFFERENTIATION_NTAR_ID,0))</f>
        <v/>
      </c>
      <c r="H211" s="1786"/>
      <c r="I211" s="1664"/>
      <c r="J211" s="1698"/>
      <c r="K211" s="1703"/>
      <c r="L211" s="1786" t="s">
        <v>333</v>
      </c>
      <c r="M211" s="278"/>
      <c r="N211" s="271"/>
      <c r="O211" s="1550"/>
      <c r="P211" s="1550"/>
      <c r="AH211" s="1557">
        <v>0</v>
      </c>
    </row>
    <row r="212" spans="1:34" s="1561" customFormat="1" ht="18.75" hidden="1" customHeight="1">
      <c r="A212" s="1705"/>
      <c r="B212" s="1705"/>
      <c r="C212" s="305" t="s">
        <v>1187</v>
      </c>
      <c r="D212" s="5548"/>
      <c r="E212" s="5334"/>
      <c r="F212" s="5485"/>
      <c r="G212" s="5522"/>
      <c r="H212" s="1426"/>
      <c r="I212" s="587" t="s">
        <v>1186</v>
      </c>
      <c r="J212" s="507"/>
      <c r="K212" s="1426"/>
      <c r="L212" s="152"/>
      <c r="M212" s="278"/>
      <c r="N212" s="271"/>
      <c r="O212" s="1550"/>
      <c r="P212" s="1550"/>
      <c r="AH212" s="1557">
        <v>0</v>
      </c>
    </row>
    <row r="213" spans="1:34" s="1561" customFormat="1" ht="0.75" hidden="1" customHeight="1">
      <c r="A213" s="1705"/>
      <c r="B213" s="1705"/>
      <c r="C213" s="305" t="s">
        <v>1194</v>
      </c>
      <c r="D213" s="5548"/>
      <c r="E213" s="5334"/>
      <c r="F213" s="5485"/>
      <c r="G213" s="336"/>
      <c r="H213" s="1426"/>
      <c r="I213" s="587"/>
      <c r="J213" s="507"/>
      <c r="K213" s="1426"/>
      <c r="L213" s="152"/>
      <c r="M213" s="278"/>
      <c r="N213" s="271"/>
      <c r="O213" s="1550"/>
      <c r="P213" s="1550"/>
      <c r="AH213" s="1557">
        <v>0</v>
      </c>
    </row>
    <row r="214" spans="1:34" s="1561" customFormat="1" ht="18.75" hidden="1" customHeight="1">
      <c r="A214" s="1705" t="s">
        <v>287</v>
      </c>
      <c r="B214" s="1705" t="s">
        <v>288</v>
      </c>
      <c r="C214" s="305"/>
      <c r="D214" s="5548"/>
      <c r="E214" s="5334"/>
      <c r="F214" s="5485" t="str">
        <f>INDEX(PT_DIFFERENTIATION_VTAR,MATCH(A214,PT_DIFFERENTIATION_VTAR_ID,0))</f>
        <v>Тариф на подключение (технологическое присоединение) к централизованной системе горячего водоснабжения</v>
      </c>
      <c r="G214" s="5522" t="str">
        <f>INDEX(PT_DIFFERENTIATION_NTAR,MATCH(B214,PT_DIFFERENTIATION_NTAR_ID,0))</f>
        <v/>
      </c>
      <c r="H214" s="1786"/>
      <c r="I214" s="1664"/>
      <c r="J214" s="1698"/>
      <c r="K214" s="1703"/>
      <c r="L214" s="1786" t="s">
        <v>333</v>
      </c>
      <c r="M214" s="278"/>
      <c r="N214" s="271"/>
      <c r="O214" s="1550"/>
      <c r="P214" s="1550"/>
      <c r="AH214" s="1557">
        <v>0</v>
      </c>
    </row>
    <row r="215" spans="1:34" s="1561" customFormat="1" ht="18.75" hidden="1" customHeight="1">
      <c r="A215" s="1705"/>
      <c r="B215" s="1705"/>
      <c r="C215" s="305" t="s">
        <v>1187</v>
      </c>
      <c r="D215" s="5548"/>
      <c r="E215" s="5334"/>
      <c r="F215" s="5485"/>
      <c r="G215" s="5522"/>
      <c r="H215" s="1426"/>
      <c r="I215" s="587" t="s">
        <v>1186</v>
      </c>
      <c r="J215" s="507"/>
      <c r="K215" s="1426"/>
      <c r="L215" s="152"/>
      <c r="M215" s="278"/>
      <c r="N215" s="271"/>
      <c r="O215" s="1550"/>
      <c r="P215" s="1550"/>
      <c r="AH215" s="1557">
        <v>0</v>
      </c>
    </row>
    <row r="216" spans="1:34" s="1561" customFormat="1" ht="0.75" hidden="1" customHeight="1">
      <c r="A216" s="1705"/>
      <c r="B216" s="1705"/>
      <c r="C216" s="305" t="s">
        <v>1194</v>
      </c>
      <c r="D216" s="5548"/>
      <c r="E216" s="5334"/>
      <c r="F216" s="5485"/>
      <c r="G216" s="336"/>
      <c r="H216" s="1426"/>
      <c r="I216" s="587"/>
      <c r="J216" s="507"/>
      <c r="K216" s="1426"/>
      <c r="L216" s="152"/>
      <c r="M216" s="278"/>
      <c r="N216" s="271"/>
      <c r="O216" s="1550"/>
      <c r="P216" s="1550"/>
      <c r="AH216" s="1557">
        <v>0</v>
      </c>
    </row>
    <row r="217" spans="1:34" s="1561" customFormat="1" ht="18.75" hidden="1" customHeight="1">
      <c r="A217" s="1705" t="s">
        <v>292</v>
      </c>
      <c r="B217" s="1705" t="s">
        <v>293</v>
      </c>
      <c r="C217" s="305"/>
      <c r="D217" s="5548"/>
      <c r="E217" s="5334"/>
      <c r="F217" s="5485" t="str">
        <f>INDEX(PT_DIFFERENTIATION_VTAR,MATCH(A217,PT_DIFFERENTIATION_VTAR_ID,0))</f>
        <v>Тариф на водоотведение</v>
      </c>
      <c r="G217" s="5522" t="str">
        <f>INDEX(PT_DIFFERENTIATION_NTAR,MATCH(B217,PT_DIFFERENTIATION_NTAR_ID,0))</f>
        <v/>
      </c>
      <c r="H217" s="1786"/>
      <c r="I217" s="1664"/>
      <c r="J217" s="1698"/>
      <c r="K217" s="1703"/>
      <c r="L217" s="1786" t="s">
        <v>333</v>
      </c>
      <c r="M217" s="278"/>
      <c r="N217" s="271"/>
      <c r="O217" s="1550"/>
      <c r="P217" s="1550"/>
      <c r="AH217" s="1557">
        <v>0</v>
      </c>
    </row>
    <row r="218" spans="1:34" s="1561" customFormat="1" ht="18.75" hidden="1" customHeight="1">
      <c r="A218" s="1705"/>
      <c r="B218" s="1705"/>
      <c r="C218" s="305" t="s">
        <v>1187</v>
      </c>
      <c r="D218" s="5548"/>
      <c r="E218" s="5334"/>
      <c r="F218" s="5485"/>
      <c r="G218" s="5522"/>
      <c r="H218" s="1426"/>
      <c r="I218" s="587" t="s">
        <v>1186</v>
      </c>
      <c r="J218" s="507"/>
      <c r="K218" s="1426"/>
      <c r="L218" s="152"/>
      <c r="M218" s="278"/>
      <c r="N218" s="271"/>
      <c r="O218" s="1550"/>
      <c r="P218" s="1550"/>
      <c r="AH218" s="1557">
        <v>0</v>
      </c>
    </row>
    <row r="219" spans="1:34" s="1561" customFormat="1" ht="0.75" hidden="1" customHeight="1">
      <c r="A219" s="1705"/>
      <c r="B219" s="1705"/>
      <c r="C219" s="305" t="s">
        <v>1194</v>
      </c>
      <c r="D219" s="5548"/>
      <c r="E219" s="5334"/>
      <c r="F219" s="5485"/>
      <c r="G219" s="336"/>
      <c r="H219" s="1426"/>
      <c r="I219" s="587"/>
      <c r="J219" s="507"/>
      <c r="K219" s="1426"/>
      <c r="L219" s="152"/>
      <c r="M219" s="278"/>
      <c r="N219" s="271"/>
      <c r="O219" s="1550"/>
      <c r="P219" s="1550"/>
      <c r="AH219" s="1557">
        <v>0</v>
      </c>
    </row>
    <row r="220" spans="1:34" s="1561" customFormat="1" ht="18.75" hidden="1" customHeight="1">
      <c r="A220" s="1705" t="s">
        <v>297</v>
      </c>
      <c r="B220" s="1705" t="s">
        <v>298</v>
      </c>
      <c r="C220" s="305"/>
      <c r="D220" s="5548"/>
      <c r="E220" s="5334"/>
      <c r="F220" s="5485" t="str">
        <f>INDEX(PT_DIFFERENTIATION_VTAR,MATCH(A220,PT_DIFFERENTIATION_VTAR_ID,0))</f>
        <v>Тариф на транспортировку сточных вод</v>
      </c>
      <c r="G220" s="5522" t="str">
        <f>INDEX(PT_DIFFERENTIATION_NTAR,MATCH(B220,PT_DIFFERENTIATION_NTAR_ID,0))</f>
        <v/>
      </c>
      <c r="H220" s="1786"/>
      <c r="I220" s="1664"/>
      <c r="J220" s="1698"/>
      <c r="K220" s="1703"/>
      <c r="L220" s="1786" t="s">
        <v>333</v>
      </c>
      <c r="M220" s="278"/>
      <c r="N220" s="271"/>
      <c r="O220" s="1550"/>
      <c r="P220" s="1550"/>
      <c r="AH220" s="1557">
        <v>0</v>
      </c>
    </row>
    <row r="221" spans="1:34" s="1561" customFormat="1" ht="18.75" hidden="1" customHeight="1">
      <c r="A221" s="1705"/>
      <c r="B221" s="1705"/>
      <c r="C221" s="305" t="s">
        <v>1187</v>
      </c>
      <c r="D221" s="5548"/>
      <c r="E221" s="5334"/>
      <c r="F221" s="5485"/>
      <c r="G221" s="5522"/>
      <c r="H221" s="1426"/>
      <c r="I221" s="587" t="s">
        <v>1186</v>
      </c>
      <c r="J221" s="507"/>
      <c r="K221" s="1426"/>
      <c r="L221" s="152"/>
      <c r="M221" s="278"/>
      <c r="N221" s="271"/>
      <c r="O221" s="1550"/>
      <c r="P221" s="1550"/>
      <c r="AH221" s="1557">
        <v>0</v>
      </c>
    </row>
    <row r="222" spans="1:34" s="1561" customFormat="1" ht="0.75" hidden="1" customHeight="1">
      <c r="A222" s="1705"/>
      <c r="B222" s="1705"/>
      <c r="C222" s="305" t="s">
        <v>1194</v>
      </c>
      <c r="D222" s="5548"/>
      <c r="E222" s="5334"/>
      <c r="F222" s="5485"/>
      <c r="G222" s="336"/>
      <c r="H222" s="1426"/>
      <c r="I222" s="587"/>
      <c r="J222" s="507"/>
      <c r="K222" s="1426"/>
      <c r="L222" s="152"/>
      <c r="M222" s="278"/>
      <c r="N222" s="271"/>
      <c r="O222" s="1550"/>
      <c r="P222" s="1550"/>
      <c r="AH222" s="1557">
        <v>0</v>
      </c>
    </row>
    <row r="223" spans="1:34" s="1561" customFormat="1" ht="18.75" hidden="1" customHeight="1">
      <c r="A223" s="1705" t="s">
        <v>302</v>
      </c>
      <c r="B223" s="1705" t="s">
        <v>303</v>
      </c>
      <c r="C223" s="305"/>
      <c r="D223" s="5548"/>
      <c r="E223" s="5334"/>
      <c r="F223" s="5485" t="str">
        <f>INDEX(PT_DIFFERENTIATION_VTAR,MATCH(A223,PT_DIFFERENTIATION_VTAR_ID,0))</f>
        <v>Тариф на подключение (технологическое присоединение) к централизованной системе водоотведения</v>
      </c>
      <c r="G223" s="5522" t="str">
        <f>INDEX(PT_DIFFERENTIATION_NTAR,MATCH(B223,PT_DIFFERENTIATION_NTAR_ID,0))</f>
        <v/>
      </c>
      <c r="H223" s="1786"/>
      <c r="I223" s="1664"/>
      <c r="J223" s="1698"/>
      <c r="K223" s="1703"/>
      <c r="L223" s="1786" t="s">
        <v>333</v>
      </c>
      <c r="M223" s="278"/>
      <c r="N223" s="271"/>
      <c r="O223" s="1550"/>
      <c r="P223" s="1550"/>
      <c r="AH223" s="1557">
        <v>0</v>
      </c>
    </row>
    <row r="224" spans="1:34" s="1561" customFormat="1" ht="18.75" hidden="1" customHeight="1">
      <c r="A224" s="1705"/>
      <c r="B224" s="1705"/>
      <c r="C224" s="305" t="s">
        <v>1187</v>
      </c>
      <c r="D224" s="5548"/>
      <c r="E224" s="5334"/>
      <c r="F224" s="5485"/>
      <c r="G224" s="5522"/>
      <c r="H224" s="1426"/>
      <c r="I224" s="587" t="s">
        <v>1186</v>
      </c>
      <c r="J224" s="507"/>
      <c r="K224" s="1426"/>
      <c r="L224" s="152"/>
      <c r="M224" s="278"/>
      <c r="N224" s="271"/>
      <c r="O224" s="1550"/>
      <c r="P224" s="1550"/>
      <c r="AH224" s="1557">
        <v>0</v>
      </c>
    </row>
    <row r="225" spans="1:34" s="1561" customFormat="1" ht="1.1499999999999999" customHeight="1">
      <c r="A225" s="1705"/>
      <c r="B225" s="1705"/>
      <c r="C225" s="305" t="s">
        <v>1194</v>
      </c>
      <c r="D225" s="5548"/>
      <c r="E225" s="5334"/>
      <c r="F225" s="5485"/>
      <c r="G225" s="336"/>
      <c r="H225" s="1426"/>
      <c r="I225" s="587"/>
      <c r="J225" s="507"/>
      <c r="K225" s="1426"/>
      <c r="L225" s="152"/>
      <c r="M225" s="278"/>
      <c r="N225" s="271"/>
      <c r="O225" s="1550"/>
      <c r="P225" s="1550"/>
      <c r="AH225" s="1557">
        <v>1</v>
      </c>
    </row>
    <row r="226" spans="1:34" ht="27.4" customHeight="1">
      <c r="A226" s="1705"/>
      <c r="B226" s="1705"/>
      <c r="D226" s="312"/>
      <c r="E226" s="85" t="s">
        <v>113</v>
      </c>
      <c r="F226" s="554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6" s="5546"/>
      <c r="H226" s="5546"/>
      <c r="I226" s="5546"/>
      <c r="J226" s="5546"/>
      <c r="K226" s="5546"/>
      <c r="L226" s="5546"/>
      <c r="M226" s="234"/>
      <c r="N226" s="271"/>
      <c r="AH226" s="310">
        <v>26</v>
      </c>
    </row>
    <row r="227" spans="1:34" s="1561" customFormat="1" ht="60.75" hidden="1" customHeight="1">
      <c r="A227" s="1705" t="s">
        <v>158</v>
      </c>
      <c r="B227" s="1705" t="s">
        <v>159</v>
      </c>
      <c r="C227" s="305"/>
      <c r="D227" s="5548"/>
      <c r="E227" s="5334"/>
      <c r="F227" s="5485" t="str">
        <f>INDEX(PT_DIFFERENTIATION_VTAR,MATCH(A227,PT_DIFFERENTIATION_VTAR_ID,0))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7" s="5522" t="str">
        <f>INDEX(PT_DIFFERENTIATION_NTAR,MATCH(B227,PT_DIFFERENTIATION_NTAR_ID,0))</f>
        <v>Тариф на тепловую энергию, поставляемую ПАО "ТГК-1" потребителям, расположенным на территории Санкт-Петербурга</v>
      </c>
      <c r="H227" s="1786"/>
      <c r="I227" s="1664"/>
      <c r="J227" s="1698"/>
      <c r="K227" s="1703"/>
      <c r="L227" s="1786" t="s">
        <v>333</v>
      </c>
      <c r="M227" s="52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7" s="271"/>
      <c r="O227" s="1550"/>
      <c r="P227" s="1550"/>
      <c r="AH227" s="1557">
        <v>0</v>
      </c>
    </row>
    <row r="228" spans="1:34" s="1561" customFormat="1" ht="18.75" hidden="1" customHeight="1">
      <c r="A228" s="1705"/>
      <c r="B228" s="1705"/>
      <c r="C228" s="305" t="s">
        <v>1187</v>
      </c>
      <c r="D228" s="5548"/>
      <c r="E228" s="5334"/>
      <c r="F228" s="5485"/>
      <c r="G228" s="5522"/>
      <c r="H228" s="1426"/>
      <c r="I228" s="587" t="s">
        <v>1186</v>
      </c>
      <c r="J228" s="507"/>
      <c r="K228" s="1426"/>
      <c r="L228" s="152"/>
      <c r="M228" s="5282"/>
      <c r="N228" s="271"/>
      <c r="O228" s="1550"/>
      <c r="P228" s="1550"/>
      <c r="AH228" s="1557">
        <v>0</v>
      </c>
    </row>
    <row r="229" spans="1:34" s="1561" customFormat="1" ht="18.75" customHeight="1">
      <c r="A229" s="1747" t="s">
        <v>158</v>
      </c>
      <c r="B229" s="1747" t="s">
        <v>168</v>
      </c>
      <c r="C229" s="1613"/>
      <c r="D229" s="5551"/>
      <c r="E229" s="5555"/>
      <c r="F229" s="5555"/>
      <c r="G229" s="5522" t="str">
        <f>INDEX(PT_DIFFERENTIATION_NTAR,MATCH(B229,PT_DIFFERENTIATION_NTAR_ID,0))</f>
        <v>Тариф на тепловую энергию, поставляемую ПАО "ТГК-1" на коллекторах источников тепловой энергии потребителям, расположенным на территории Санкт-Петербурга</v>
      </c>
      <c r="H229" s="2010"/>
      <c r="I229" s="1664"/>
      <c r="J229" s="1698"/>
      <c r="K229" s="1703"/>
      <c r="L229" s="2010" t="s">
        <v>333</v>
      </c>
      <c r="M229" s="5431"/>
      <c r="N229" s="554"/>
      <c r="O229" s="1550"/>
      <c r="P229" s="1550"/>
      <c r="AH229" s="1561">
        <v>0</v>
      </c>
    </row>
    <row r="230" spans="1:34" s="1561" customFormat="1" ht="18.75" customHeight="1">
      <c r="A230" s="1747"/>
      <c r="B230" s="1747"/>
      <c r="C230" s="1613" t="s">
        <v>1187</v>
      </c>
      <c r="D230" s="5551"/>
      <c r="E230" s="5555"/>
      <c r="F230" s="5555"/>
      <c r="G230" s="5522"/>
      <c r="H230" s="2435"/>
      <c r="I230" s="2436" t="s">
        <v>1186</v>
      </c>
      <c r="J230" s="2437"/>
      <c r="K230" s="2438"/>
      <c r="L230" s="2439"/>
      <c r="M230" s="5431"/>
      <c r="N230" s="554"/>
      <c r="O230" s="1550"/>
      <c r="P230" s="1550"/>
      <c r="AH230" s="1561">
        <v>0</v>
      </c>
    </row>
    <row r="231" spans="1:34" s="1561" customFormat="1" ht="18.75" customHeight="1">
      <c r="A231" s="1747" t="s">
        <v>158</v>
      </c>
      <c r="B231" s="1747" t="s">
        <v>173</v>
      </c>
      <c r="C231" s="1613"/>
      <c r="D231" s="5551"/>
      <c r="E231" s="5555"/>
      <c r="F231" s="5555"/>
      <c r="G231" s="5522" t="str">
        <f>INDEX(PT_DIFFERENTIATION_NTAR,MATCH(B231,PT_DIFFERENTIATION_NTAR_ID,0))</f>
        <v>Тариф на тепловую энергию (мощность), поставляемую ПАО "ТГК-1" теплоснабжающим, теплосетевым организациям, приобретающим тепловую энергию с целью компенсации потерь тепловой энергии</v>
      </c>
      <c r="H231" s="2010"/>
      <c r="I231" s="1664"/>
      <c r="J231" s="1698"/>
      <c r="K231" s="1703"/>
      <c r="L231" s="2010" t="s">
        <v>333</v>
      </c>
      <c r="M231" s="5431"/>
      <c r="N231" s="554"/>
      <c r="O231" s="1550"/>
      <c r="P231" s="1550"/>
      <c r="AH231" s="1561">
        <v>0</v>
      </c>
    </row>
    <row r="232" spans="1:34" s="1561" customFormat="1" ht="18.75" customHeight="1">
      <c r="A232" s="1747"/>
      <c r="B232" s="1747"/>
      <c r="C232" s="1613" t="s">
        <v>1187</v>
      </c>
      <c r="D232" s="5551"/>
      <c r="E232" s="5555"/>
      <c r="F232" s="5555"/>
      <c r="G232" s="5522"/>
      <c r="H232" s="2440"/>
      <c r="I232" s="2441" t="s">
        <v>1186</v>
      </c>
      <c r="J232" s="2442"/>
      <c r="K232" s="2443"/>
      <c r="L232" s="2444"/>
      <c r="M232" s="5431"/>
      <c r="N232" s="554"/>
      <c r="O232" s="1550"/>
      <c r="P232" s="1550"/>
      <c r="AH232" s="1561">
        <v>0</v>
      </c>
    </row>
    <row r="233" spans="1:34" s="1561" customFormat="1" ht="18.75" customHeight="1">
      <c r="A233" s="1747" t="s">
        <v>158</v>
      </c>
      <c r="B233" s="1747" t="s">
        <v>178</v>
      </c>
      <c r="C233" s="1613"/>
      <c r="D233" s="5551"/>
      <c r="E233" s="5555"/>
      <c r="F233" s="5555"/>
      <c r="G233" s="5522" t="str">
        <f>INDEX(PT_DIFFERENTIATION_NTAR,MATCH(B233,PT_DIFFERENTIATION_NTAR_ID,0))</f>
        <v>Льготные тарифы на тепловую энергию, поставляемую ПАО "ТГК-1" потребителям, расположенным на территории Санкт-Петербурга</v>
      </c>
      <c r="H233" s="2010"/>
      <c r="I233" s="1664"/>
      <c r="J233" s="1698"/>
      <c r="K233" s="1703"/>
      <c r="L233" s="2010" t="s">
        <v>333</v>
      </c>
      <c r="M233" s="5431"/>
      <c r="N233" s="554"/>
      <c r="O233" s="1550"/>
      <c r="P233" s="1550"/>
      <c r="AH233" s="1561">
        <v>0</v>
      </c>
    </row>
    <row r="234" spans="1:34" s="1561" customFormat="1" ht="18.75" customHeight="1">
      <c r="A234" s="1747"/>
      <c r="B234" s="1747"/>
      <c r="C234" s="1613" t="s">
        <v>1187</v>
      </c>
      <c r="D234" s="5551"/>
      <c r="E234" s="5555"/>
      <c r="F234" s="5555"/>
      <c r="G234" s="5522"/>
      <c r="H234" s="2445"/>
      <c r="I234" s="2446" t="s">
        <v>1186</v>
      </c>
      <c r="J234" s="2447"/>
      <c r="K234" s="2448"/>
      <c r="L234" s="2449"/>
      <c r="M234" s="5431"/>
      <c r="N234" s="554"/>
      <c r="O234" s="1550"/>
      <c r="P234" s="1550"/>
      <c r="AH234" s="1561">
        <v>0</v>
      </c>
    </row>
    <row r="235" spans="1:34" s="1561" customFormat="1" ht="0.75" hidden="1" customHeight="1">
      <c r="A235" s="1705"/>
      <c r="B235" s="1705"/>
      <c r="C235" s="305" t="s">
        <v>1194</v>
      </c>
      <c r="D235" s="5548"/>
      <c r="E235" s="5334"/>
      <c r="F235" s="5485"/>
      <c r="G235" s="336"/>
      <c r="H235" s="1426"/>
      <c r="I235" s="587"/>
      <c r="J235" s="507"/>
      <c r="K235" s="1426"/>
      <c r="L235" s="152"/>
      <c r="M235" s="5282"/>
      <c r="N235" s="271"/>
      <c r="O235" s="1550"/>
      <c r="P235" s="1550"/>
      <c r="AH235" s="1557">
        <v>0</v>
      </c>
    </row>
    <row r="236" spans="1:34" s="1561" customFormat="1" ht="45" hidden="1" customHeight="1">
      <c r="A236" s="1705" t="s">
        <v>184</v>
      </c>
      <c r="B236" s="1705" t="s">
        <v>185</v>
      </c>
      <c r="C236" s="305"/>
      <c r="D236" s="5548"/>
      <c r="E236" s="5334"/>
      <c r="F236" s="5485" t="str">
        <f>INDEX(PT_DIFFERENTIATION_VTAR,MATCH(A236,PT_DIFFERENTIATION_VTAR_ID,0))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36" s="5522" t="str">
        <f>INDEX(PT_DIFFERENTIATION_NTAR,MATCH(B236,PT_DIFFERENTIATION_NTAR_ID,0))</f>
        <v/>
      </c>
      <c r="H236" s="1786"/>
      <c r="I236" s="1664"/>
      <c r="J236" s="1698"/>
      <c r="K236" s="1703"/>
      <c r="L236" s="1786" t="s">
        <v>333</v>
      </c>
      <c r="M236" s="5283"/>
      <c r="N236" s="271"/>
      <c r="O236" s="1550"/>
      <c r="P236" s="1550"/>
      <c r="AH236" s="1557">
        <v>0</v>
      </c>
    </row>
    <row r="237" spans="1:34" s="1561" customFormat="1" ht="18.75" hidden="1" customHeight="1">
      <c r="A237" s="1705"/>
      <c r="B237" s="1705"/>
      <c r="C237" s="305" t="s">
        <v>1187</v>
      </c>
      <c r="D237" s="5548"/>
      <c r="E237" s="5334"/>
      <c r="F237" s="5485"/>
      <c r="G237" s="5522"/>
      <c r="H237" s="1426"/>
      <c r="I237" s="587" t="s">
        <v>1186</v>
      </c>
      <c r="J237" s="507"/>
      <c r="K237" s="1426"/>
      <c r="L237" s="152"/>
      <c r="M237" s="1785"/>
      <c r="N237" s="271"/>
      <c r="O237" s="1550"/>
      <c r="P237" s="1550"/>
      <c r="AH237" s="1557">
        <v>0</v>
      </c>
    </row>
    <row r="238" spans="1:34" s="1561" customFormat="1" ht="0.75" hidden="1" customHeight="1">
      <c r="A238" s="1705"/>
      <c r="B238" s="1705"/>
      <c r="C238" s="305" t="s">
        <v>1194</v>
      </c>
      <c r="D238" s="5548"/>
      <c r="E238" s="5334"/>
      <c r="F238" s="5485"/>
      <c r="G238" s="336"/>
      <c r="H238" s="1426"/>
      <c r="I238" s="587"/>
      <c r="J238" s="507"/>
      <c r="K238" s="1426"/>
      <c r="L238" s="152"/>
      <c r="M238" s="278"/>
      <c r="N238" s="271"/>
      <c r="O238" s="1550"/>
      <c r="P238" s="1550"/>
      <c r="AH238" s="1557">
        <v>0</v>
      </c>
    </row>
    <row r="239" spans="1:34" s="1561" customFormat="1" ht="45" hidden="1" customHeight="1">
      <c r="A239" s="1705" t="s">
        <v>192</v>
      </c>
      <c r="B239" s="1705" t="s">
        <v>193</v>
      </c>
      <c r="C239" s="305"/>
      <c r="D239" s="5548"/>
      <c r="E239" s="5334"/>
      <c r="F239" s="5485" t="str">
        <f>INDEX(PT_DIFFERENTIATION_VTAR,MATCH(A239,PT_DIFFERENTIATION_VTAR_ID,0))</f>
        <v>Тарифы на теплоноситель, поставляемый теплоснабжающими организациями потребителям, другим теплоснабжающим организациям</v>
      </c>
      <c r="G239" s="5522" t="str">
        <f>INDEX(PT_DIFFERENTIATION_NTAR,MATCH(B239,PT_DIFFERENTIATION_NTAR_ID,0))</f>
        <v>Тариф на теплоноситель, поставляемый ПАО "ТГК-1" потребителям, расположенным на территории Санкт-Петербурга</v>
      </c>
      <c r="H239" s="1786"/>
      <c r="I239" s="1664"/>
      <c r="J239" s="1698"/>
      <c r="K239" s="1703"/>
      <c r="L239" s="1786" t="s">
        <v>333</v>
      </c>
      <c r="M239" s="278"/>
      <c r="N239" s="271"/>
      <c r="O239" s="1550"/>
      <c r="P239" s="1550"/>
      <c r="AH239" s="1557">
        <v>0</v>
      </c>
    </row>
    <row r="240" spans="1:34" s="1561" customFormat="1" ht="18.75" hidden="1" customHeight="1">
      <c r="A240" s="1705"/>
      <c r="B240" s="1705"/>
      <c r="C240" s="305" t="s">
        <v>1187</v>
      </c>
      <c r="D240" s="5548"/>
      <c r="E240" s="5334"/>
      <c r="F240" s="5485"/>
      <c r="G240" s="5522"/>
      <c r="H240" s="1426"/>
      <c r="I240" s="587" t="s">
        <v>1186</v>
      </c>
      <c r="J240" s="507"/>
      <c r="K240" s="1426"/>
      <c r="L240" s="152"/>
      <c r="M240" s="278"/>
      <c r="N240" s="271"/>
      <c r="O240" s="1550"/>
      <c r="P240" s="1550"/>
      <c r="AH240" s="1557">
        <v>0</v>
      </c>
    </row>
    <row r="241" spans="1:34" s="1561" customFormat="1" ht="0.75" hidden="1" customHeight="1">
      <c r="A241" s="1705"/>
      <c r="B241" s="1705"/>
      <c r="C241" s="305" t="s">
        <v>1194</v>
      </c>
      <c r="D241" s="5548"/>
      <c r="E241" s="5334"/>
      <c r="F241" s="5485"/>
      <c r="G241" s="336"/>
      <c r="H241" s="1426"/>
      <c r="I241" s="587"/>
      <c r="J241" s="507"/>
      <c r="K241" s="1426"/>
      <c r="L241" s="152"/>
      <c r="M241" s="278"/>
      <c r="N241" s="271"/>
      <c r="O241" s="1550"/>
      <c r="P241" s="1550"/>
      <c r="AH241" s="1557">
        <v>0</v>
      </c>
    </row>
    <row r="242" spans="1:34" s="1561" customFormat="1" ht="45" hidden="1" customHeight="1">
      <c r="A242" s="1705" t="s">
        <v>200</v>
      </c>
      <c r="B242" s="1705" t="s">
        <v>201</v>
      </c>
      <c r="C242" s="305"/>
      <c r="D242" s="5548"/>
      <c r="E242" s="5334"/>
      <c r="F242" s="5485" t="str">
        <f>INDEX(PT_DIFFERENTIATION_VTAR,MATCH(A242,PT_DIFFERENTIATION_VTAR_ID,0))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42" s="5522" t="str">
        <f>INDEX(PT_DIFFERENTIATION_NTAR,MATCH(B242,PT_DIFFERENTIATION_NTAR_ID,0))</f>
        <v>Тариф на горячую воду (горячее водоснабжение), поставляемую ПАО "ТГК-1" в открытых системах теплоснабжения потребителям, расположенным на территории Санкт-Петербурга</v>
      </c>
      <c r="H242" s="1786"/>
      <c r="I242" s="1664"/>
      <c r="J242" s="1698"/>
      <c r="K242" s="1703"/>
      <c r="L242" s="1786" t="s">
        <v>333</v>
      </c>
      <c r="M242" s="278"/>
      <c r="N242" s="271"/>
      <c r="O242" s="1550"/>
      <c r="P242" s="1550"/>
      <c r="AH242" s="1557">
        <v>0</v>
      </c>
    </row>
    <row r="243" spans="1:34" s="1561" customFormat="1" ht="18.75" hidden="1" customHeight="1">
      <c r="A243" s="1705"/>
      <c r="B243" s="1705"/>
      <c r="C243" s="305" t="s">
        <v>1187</v>
      </c>
      <c r="D243" s="5548"/>
      <c r="E243" s="5334"/>
      <c r="F243" s="5485"/>
      <c r="G243" s="5522"/>
      <c r="H243" s="1426"/>
      <c r="I243" s="587" t="s">
        <v>1186</v>
      </c>
      <c r="J243" s="507"/>
      <c r="K243" s="1426"/>
      <c r="L243" s="152"/>
      <c r="M243" s="278"/>
      <c r="N243" s="271"/>
      <c r="O243" s="1550"/>
      <c r="P243" s="1550"/>
      <c r="AH243" s="1557">
        <v>0</v>
      </c>
    </row>
    <row r="244" spans="1:34" s="1561" customFormat="1" ht="0.75" hidden="1" customHeight="1">
      <c r="A244" s="1705"/>
      <c r="B244" s="1705"/>
      <c r="C244" s="305" t="s">
        <v>1194</v>
      </c>
      <c r="D244" s="5548"/>
      <c r="E244" s="5334"/>
      <c r="F244" s="5485"/>
      <c r="G244" s="336"/>
      <c r="H244" s="1426"/>
      <c r="I244" s="587"/>
      <c r="J244" s="507"/>
      <c r="K244" s="1426"/>
      <c r="L244" s="152"/>
      <c r="M244" s="278"/>
      <c r="N244" s="271"/>
      <c r="O244" s="1550"/>
      <c r="P244" s="1550"/>
      <c r="AH244" s="1557">
        <v>0</v>
      </c>
    </row>
    <row r="245" spans="1:34" s="1561" customFormat="1" ht="18.75" hidden="1" customHeight="1">
      <c r="A245" s="1705" t="s">
        <v>206</v>
      </c>
      <c r="B245" s="1705" t="s">
        <v>207</v>
      </c>
      <c r="C245" s="305"/>
      <c r="D245" s="5548"/>
      <c r="E245" s="5334"/>
      <c r="F245" s="5485" t="str">
        <f>INDEX(PT_DIFFERENTIATION_VTAR,MATCH(A245,PT_DIFFERENTIATION_VTAR_ID,0))</f>
        <v>Тарифы на услуги по передаче тепловой энергии</v>
      </c>
      <c r="G245" s="5522" t="str">
        <f>INDEX(PT_DIFFERENTIATION_NTAR,MATCH(B245,PT_DIFFERENTIATION_NTAR_ID,0))</f>
        <v/>
      </c>
      <c r="H245" s="1786"/>
      <c r="I245" s="1664"/>
      <c r="J245" s="1698"/>
      <c r="K245" s="1703"/>
      <c r="L245" s="1786" t="s">
        <v>333</v>
      </c>
      <c r="M245" s="278"/>
      <c r="N245" s="271"/>
      <c r="O245" s="1550"/>
      <c r="P245" s="1550"/>
      <c r="AH245" s="1557">
        <v>0</v>
      </c>
    </row>
    <row r="246" spans="1:34" s="1561" customFormat="1" ht="18.75" hidden="1" customHeight="1">
      <c r="A246" s="1705"/>
      <c r="B246" s="1705"/>
      <c r="C246" s="305" t="s">
        <v>1187</v>
      </c>
      <c r="D246" s="5548"/>
      <c r="E246" s="5334"/>
      <c r="F246" s="5485"/>
      <c r="G246" s="5522"/>
      <c r="H246" s="1426"/>
      <c r="I246" s="587" t="s">
        <v>1186</v>
      </c>
      <c r="J246" s="507"/>
      <c r="K246" s="1426"/>
      <c r="L246" s="152"/>
      <c r="M246" s="278"/>
      <c r="N246" s="271"/>
      <c r="O246" s="1550"/>
      <c r="P246" s="1550"/>
      <c r="AH246" s="1557">
        <v>0</v>
      </c>
    </row>
    <row r="247" spans="1:34" s="1561" customFormat="1" ht="0.75" hidden="1" customHeight="1">
      <c r="A247" s="1705"/>
      <c r="B247" s="1705"/>
      <c r="C247" s="305" t="s">
        <v>1194</v>
      </c>
      <c r="D247" s="5548"/>
      <c r="E247" s="5334"/>
      <c r="F247" s="5485"/>
      <c r="G247" s="336"/>
      <c r="H247" s="1426"/>
      <c r="I247" s="587"/>
      <c r="J247" s="507"/>
      <c r="K247" s="1426"/>
      <c r="L247" s="152"/>
      <c r="M247" s="278"/>
      <c r="N247" s="271"/>
      <c r="O247" s="1550"/>
      <c r="P247" s="1550"/>
      <c r="AH247" s="1557">
        <v>0</v>
      </c>
    </row>
    <row r="248" spans="1:34" s="1561" customFormat="1" ht="18.75" hidden="1" customHeight="1">
      <c r="A248" s="1705" t="s">
        <v>212</v>
      </c>
      <c r="B248" s="1705" t="s">
        <v>213</v>
      </c>
      <c r="C248" s="305"/>
      <c r="D248" s="5548"/>
      <c r="E248" s="5334"/>
      <c r="F248" s="5485" t="str">
        <f>INDEX(PT_DIFFERENTIATION_VTAR,MATCH(A248,PT_DIFFERENTIATION_VTAR_ID,0))</f>
        <v>Тарифы на услуги по передаче теплоносителя</v>
      </c>
      <c r="G248" s="5522" t="str">
        <f>INDEX(PT_DIFFERENTIATION_NTAR,MATCH(B248,PT_DIFFERENTIATION_NTAR_ID,0))</f>
        <v/>
      </c>
      <c r="H248" s="1786"/>
      <c r="I248" s="1664"/>
      <c r="J248" s="1698"/>
      <c r="K248" s="1703"/>
      <c r="L248" s="1786" t="s">
        <v>333</v>
      </c>
      <c r="M248" s="278"/>
      <c r="N248" s="271"/>
      <c r="O248" s="1550"/>
      <c r="P248" s="1550"/>
      <c r="AH248" s="1557">
        <v>0</v>
      </c>
    </row>
    <row r="249" spans="1:34" s="1561" customFormat="1" ht="18.75" hidden="1" customHeight="1">
      <c r="A249" s="1705"/>
      <c r="B249" s="1705"/>
      <c r="C249" s="305" t="s">
        <v>1187</v>
      </c>
      <c r="D249" s="5548"/>
      <c r="E249" s="5334"/>
      <c r="F249" s="5485"/>
      <c r="G249" s="5522"/>
      <c r="H249" s="1426"/>
      <c r="I249" s="587" t="s">
        <v>1186</v>
      </c>
      <c r="J249" s="507"/>
      <c r="K249" s="1426"/>
      <c r="L249" s="152"/>
      <c r="M249" s="278"/>
      <c r="N249" s="271"/>
      <c r="O249" s="1550"/>
      <c r="P249" s="1550"/>
      <c r="AH249" s="1557">
        <v>0</v>
      </c>
    </row>
    <row r="250" spans="1:34" s="1561" customFormat="1" ht="0.75" hidden="1" customHeight="1">
      <c r="A250" s="1705"/>
      <c r="B250" s="1705"/>
      <c r="C250" s="305" t="s">
        <v>1194</v>
      </c>
      <c r="D250" s="5548"/>
      <c r="E250" s="5334"/>
      <c r="F250" s="5485"/>
      <c r="G250" s="336"/>
      <c r="H250" s="1426"/>
      <c r="I250" s="587"/>
      <c r="J250" s="507"/>
      <c r="K250" s="1426"/>
      <c r="L250" s="152"/>
      <c r="M250" s="278"/>
      <c r="N250" s="271"/>
      <c r="O250" s="1550"/>
      <c r="P250" s="1550"/>
      <c r="AH250" s="1557">
        <v>0</v>
      </c>
    </row>
    <row r="251" spans="1:34" s="1561" customFormat="1" ht="18.75" hidden="1" customHeight="1">
      <c r="A251" s="1705" t="s">
        <v>220</v>
      </c>
      <c r="B251" s="1705" t="s">
        <v>221</v>
      </c>
      <c r="C251" s="305"/>
      <c r="D251" s="5548"/>
      <c r="E251" s="5334"/>
      <c r="F251" s="5485" t="str">
        <f>INDEX(PT_DIFFERENTIATION_VTAR,MATCH(A251,PT_DIFFERENTIATION_VTAR_ID,0))</f>
        <v>Плата за услуги по поддержанию резервной тепловой мощности при отсутствии потребления тепловой энергии</v>
      </c>
      <c r="G251" s="5522" t="str">
        <f>INDEX(PT_DIFFERENTIATION_NTAR,MATCH(B251,PT_DIFFERENTIATION_NTAR_ID,0))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251" s="1786"/>
      <c r="I251" s="1664"/>
      <c r="J251" s="1698"/>
      <c r="K251" s="1703"/>
      <c r="L251" s="1786" t="s">
        <v>333</v>
      </c>
      <c r="M251" s="278"/>
      <c r="N251" s="271"/>
      <c r="O251" s="1550"/>
      <c r="P251" s="1550"/>
      <c r="AH251" s="1557">
        <v>0</v>
      </c>
    </row>
    <row r="252" spans="1:34" s="1561" customFormat="1" ht="18.75" hidden="1" customHeight="1">
      <c r="A252" s="1705"/>
      <c r="B252" s="1705"/>
      <c r="C252" s="305" t="s">
        <v>1187</v>
      </c>
      <c r="D252" s="5548"/>
      <c r="E252" s="5334"/>
      <c r="F252" s="5485"/>
      <c r="G252" s="5522"/>
      <c r="H252" s="1426"/>
      <c r="I252" s="587" t="s">
        <v>1186</v>
      </c>
      <c r="J252" s="507"/>
      <c r="K252" s="1426"/>
      <c r="L252" s="152"/>
      <c r="M252" s="278"/>
      <c r="N252" s="271"/>
      <c r="O252" s="1550"/>
      <c r="P252" s="1550"/>
      <c r="AH252" s="1557">
        <v>0</v>
      </c>
    </row>
    <row r="253" spans="1:34" s="1561" customFormat="1" ht="0.75" hidden="1" customHeight="1">
      <c r="A253" s="1705"/>
      <c r="B253" s="1705"/>
      <c r="C253" s="305" t="s">
        <v>1194</v>
      </c>
      <c r="D253" s="5548"/>
      <c r="E253" s="5334"/>
      <c r="F253" s="5485"/>
      <c r="G253" s="336"/>
      <c r="H253" s="1426"/>
      <c r="I253" s="587"/>
      <c r="J253" s="507"/>
      <c r="K253" s="1426"/>
      <c r="L253" s="152"/>
      <c r="M253" s="278"/>
      <c r="N253" s="271"/>
      <c r="O253" s="1550"/>
      <c r="P253" s="1550"/>
      <c r="AH253" s="1557">
        <v>0</v>
      </c>
    </row>
    <row r="254" spans="1:34" s="1561" customFormat="1" ht="18.75" hidden="1" customHeight="1">
      <c r="A254" s="1705" t="s">
        <v>226</v>
      </c>
      <c r="B254" s="1705" t="s">
        <v>227</v>
      </c>
      <c r="C254" s="305"/>
      <c r="D254" s="5548"/>
      <c r="E254" s="5334"/>
      <c r="F254" s="5485" t="str">
        <f>INDEX(PT_DIFFERENTIATION_VTAR,MATCH(A254,PT_DIFFERENTIATION_VTAR_ID,0))</f>
        <v>Плата за подключение (технологическое присоединение) к системе теплоснабжения</v>
      </c>
      <c r="G254" s="5522" t="str">
        <f>INDEX(PT_DIFFERENTIATION_NTAR,MATCH(B254,PT_DIFFERENTIATION_NTAR_ID,0))</f>
        <v/>
      </c>
      <c r="H254" s="1786"/>
      <c r="I254" s="1664"/>
      <c r="J254" s="1698"/>
      <c r="K254" s="1703"/>
      <c r="L254" s="1786" t="s">
        <v>333</v>
      </c>
      <c r="M254" s="278"/>
      <c r="N254" s="271"/>
      <c r="O254" s="1550"/>
      <c r="P254" s="1550"/>
      <c r="AH254" s="1557">
        <v>0</v>
      </c>
    </row>
    <row r="255" spans="1:34" s="1561" customFormat="1" ht="18.75" hidden="1" customHeight="1">
      <c r="A255" s="1705"/>
      <c r="B255" s="1705"/>
      <c r="C255" s="305" t="s">
        <v>1187</v>
      </c>
      <c r="D255" s="5548"/>
      <c r="E255" s="5334"/>
      <c r="F255" s="5485"/>
      <c r="G255" s="5522"/>
      <c r="H255" s="1426"/>
      <c r="I255" s="587" t="s">
        <v>1186</v>
      </c>
      <c r="J255" s="507"/>
      <c r="K255" s="1426"/>
      <c r="L255" s="152"/>
      <c r="M255" s="278"/>
      <c r="N255" s="271"/>
      <c r="O255" s="1550"/>
      <c r="P255" s="1550"/>
      <c r="AH255" s="1557">
        <v>0</v>
      </c>
    </row>
    <row r="256" spans="1:34" s="1561" customFormat="1" ht="0.75" hidden="1" customHeight="1">
      <c r="A256" s="1705"/>
      <c r="B256" s="1705"/>
      <c r="C256" s="305" t="s">
        <v>1194</v>
      </c>
      <c r="D256" s="5548"/>
      <c r="E256" s="5334"/>
      <c r="F256" s="5485"/>
      <c r="G256" s="336"/>
      <c r="H256" s="1426"/>
      <c r="I256" s="587"/>
      <c r="J256" s="507"/>
      <c r="K256" s="1426"/>
      <c r="L256" s="152"/>
      <c r="M256" s="278"/>
      <c r="N256" s="271"/>
      <c r="O256" s="1550"/>
      <c r="P256" s="1550"/>
      <c r="AH256" s="1557">
        <v>0</v>
      </c>
    </row>
    <row r="257" spans="1:34" s="1561" customFormat="1" ht="18.75" hidden="1" customHeight="1">
      <c r="A257" s="1705" t="s">
        <v>232</v>
      </c>
      <c r="B257" s="1705" t="s">
        <v>233</v>
      </c>
      <c r="C257" s="305"/>
      <c r="D257" s="5548"/>
      <c r="E257" s="5334"/>
      <c r="F257" s="5485" t="str">
        <f>INDEX(PT_DIFFERENTIATION_VTAR,MATCH(A257,PT_DIFFERENTIATION_VTAR_ID,0))</f>
        <v>Плата за подключение (технологическое присоединение) к системе теплоснабжения (индивидуальная)</v>
      </c>
      <c r="G257" s="5522" t="str">
        <f>INDEX(PT_DIFFERENTIATION_NTAR,MATCH(B257,PT_DIFFERENTIATION_NTAR_ID,0))</f>
        <v/>
      </c>
      <c r="H257" s="1910"/>
      <c r="I257" s="1664"/>
      <c r="J257" s="1698"/>
      <c r="K257" s="1703"/>
      <c r="L257" s="1910" t="s">
        <v>333</v>
      </c>
      <c r="M257" s="278"/>
      <c r="N257" s="271"/>
      <c r="O257" s="1550"/>
      <c r="P257" s="1550"/>
      <c r="AH257" s="1557">
        <v>0</v>
      </c>
    </row>
    <row r="258" spans="1:34" s="1561" customFormat="1" ht="18.75" hidden="1" customHeight="1">
      <c r="A258" s="1705"/>
      <c r="B258" s="1705"/>
      <c r="C258" s="305" t="s">
        <v>1187</v>
      </c>
      <c r="D258" s="5548"/>
      <c r="E258" s="5334"/>
      <c r="F258" s="5485"/>
      <c r="G258" s="5522"/>
      <c r="H258" s="1426"/>
      <c r="I258" s="587" t="s">
        <v>1186</v>
      </c>
      <c r="J258" s="507"/>
      <c r="K258" s="1426"/>
      <c r="L258" s="152"/>
      <c r="M258" s="278"/>
      <c r="N258" s="271"/>
      <c r="O258" s="1550"/>
      <c r="P258" s="1550"/>
      <c r="AH258" s="1557">
        <v>0</v>
      </c>
    </row>
    <row r="259" spans="1:34" s="1561" customFormat="1" ht="0.75" hidden="1" customHeight="1">
      <c r="A259" s="1705"/>
      <c r="B259" s="1705"/>
      <c r="C259" s="305" t="s">
        <v>1194</v>
      </c>
      <c r="D259" s="5548"/>
      <c r="E259" s="5334"/>
      <c r="F259" s="5485"/>
      <c r="G259" s="336"/>
      <c r="H259" s="1426"/>
      <c r="I259" s="587"/>
      <c r="J259" s="507"/>
      <c r="K259" s="1426"/>
      <c r="L259" s="152"/>
      <c r="M259" s="278"/>
      <c r="N259" s="271"/>
      <c r="O259" s="1550"/>
      <c r="P259" s="1550"/>
      <c r="AH259" s="1557">
        <v>0</v>
      </c>
    </row>
    <row r="260" spans="1:34" s="1561" customFormat="1" ht="18.75" hidden="1" customHeight="1">
      <c r="A260" s="1705" t="s">
        <v>252</v>
      </c>
      <c r="B260" s="1705" t="s">
        <v>253</v>
      </c>
      <c r="C260" s="305"/>
      <c r="D260" s="5548"/>
      <c r="E260" s="5334"/>
      <c r="F260" s="5485" t="str">
        <f>INDEX(PT_DIFFERENTIATION_VTAR,MATCH(A260,PT_DIFFERENTIATION_VTAR_ID,0))</f>
        <v>Тариф на питьевую воду (питьевое водоснабжение)</v>
      </c>
      <c r="G260" s="5522" t="str">
        <f>INDEX(PT_DIFFERENTIATION_NTAR,MATCH(B260,PT_DIFFERENTIATION_NTAR_ID,0))</f>
        <v/>
      </c>
      <c r="H260" s="1786"/>
      <c r="I260" s="1664"/>
      <c r="J260" s="1698"/>
      <c r="K260" s="1703"/>
      <c r="L260" s="1786" t="s">
        <v>333</v>
      </c>
      <c r="M260" s="278"/>
      <c r="N260" s="271"/>
      <c r="O260" s="1550"/>
      <c r="P260" s="1550"/>
      <c r="AH260" s="1557">
        <v>0</v>
      </c>
    </row>
    <row r="261" spans="1:34" s="1561" customFormat="1" ht="18.75" hidden="1" customHeight="1">
      <c r="A261" s="1705"/>
      <c r="B261" s="1705"/>
      <c r="C261" s="305" t="s">
        <v>1187</v>
      </c>
      <c r="D261" s="5548"/>
      <c r="E261" s="5334"/>
      <c r="F261" s="5485"/>
      <c r="G261" s="5522"/>
      <c r="H261" s="1426"/>
      <c r="I261" s="587" t="s">
        <v>1186</v>
      </c>
      <c r="J261" s="507"/>
      <c r="K261" s="1426"/>
      <c r="L261" s="152"/>
      <c r="M261" s="278"/>
      <c r="N261" s="271"/>
      <c r="O261" s="1550"/>
      <c r="P261" s="1550"/>
      <c r="AH261" s="1557">
        <v>0</v>
      </c>
    </row>
    <row r="262" spans="1:34" s="1561" customFormat="1" ht="0.75" hidden="1" customHeight="1">
      <c r="A262" s="1705"/>
      <c r="B262" s="1705"/>
      <c r="C262" s="305" t="s">
        <v>1194</v>
      </c>
      <c r="D262" s="5548"/>
      <c r="E262" s="5334"/>
      <c r="F262" s="5485"/>
      <c r="G262" s="336"/>
      <c r="H262" s="1426"/>
      <c r="I262" s="587"/>
      <c r="J262" s="507"/>
      <c r="K262" s="1426"/>
      <c r="L262" s="152"/>
      <c r="M262" s="278"/>
      <c r="N262" s="271"/>
      <c r="O262" s="1550"/>
      <c r="P262" s="1550"/>
      <c r="AH262" s="1557">
        <v>0</v>
      </c>
    </row>
    <row r="263" spans="1:34" s="1561" customFormat="1" ht="18.75" hidden="1" customHeight="1">
      <c r="A263" s="1705" t="s">
        <v>257</v>
      </c>
      <c r="B263" s="1705" t="s">
        <v>258</v>
      </c>
      <c r="C263" s="305"/>
      <c r="D263" s="5548"/>
      <c r="E263" s="5334"/>
      <c r="F263" s="5485" t="str">
        <f>INDEX(PT_DIFFERENTIATION_VTAR,MATCH(A263,PT_DIFFERENTIATION_VTAR_ID,0))</f>
        <v>Тариф на техническую воду</v>
      </c>
      <c r="G263" s="5522" t="str">
        <f>INDEX(PT_DIFFERENTIATION_NTAR,MATCH(B263,PT_DIFFERENTIATION_NTAR_ID,0))</f>
        <v/>
      </c>
      <c r="H263" s="1786"/>
      <c r="I263" s="1664"/>
      <c r="J263" s="1698"/>
      <c r="K263" s="1703"/>
      <c r="L263" s="1786" t="s">
        <v>333</v>
      </c>
      <c r="M263" s="278"/>
      <c r="N263" s="271"/>
      <c r="O263" s="1550"/>
      <c r="P263" s="1550"/>
      <c r="AH263" s="1557">
        <v>0</v>
      </c>
    </row>
    <row r="264" spans="1:34" s="1561" customFormat="1" ht="18.75" hidden="1" customHeight="1">
      <c r="A264" s="1705"/>
      <c r="B264" s="1705"/>
      <c r="C264" s="305" t="s">
        <v>1187</v>
      </c>
      <c r="D264" s="5548"/>
      <c r="E264" s="5334"/>
      <c r="F264" s="5485"/>
      <c r="G264" s="5522"/>
      <c r="H264" s="1426"/>
      <c r="I264" s="587" t="s">
        <v>1186</v>
      </c>
      <c r="J264" s="507"/>
      <c r="K264" s="1426"/>
      <c r="L264" s="152"/>
      <c r="M264" s="278"/>
      <c r="N264" s="271"/>
      <c r="O264" s="1550"/>
      <c r="P264" s="1550"/>
      <c r="AH264" s="1557">
        <v>0</v>
      </c>
    </row>
    <row r="265" spans="1:34" s="1561" customFormat="1" ht="0.75" hidden="1" customHeight="1">
      <c r="A265" s="1705"/>
      <c r="B265" s="1705"/>
      <c r="C265" s="305" t="s">
        <v>1194</v>
      </c>
      <c r="D265" s="5548"/>
      <c r="E265" s="5334"/>
      <c r="F265" s="5485"/>
      <c r="G265" s="336"/>
      <c r="H265" s="1426"/>
      <c r="I265" s="587"/>
      <c r="J265" s="507"/>
      <c r="K265" s="1426"/>
      <c r="L265" s="152"/>
      <c r="M265" s="278"/>
      <c r="N265" s="271"/>
      <c r="O265" s="1550"/>
      <c r="P265" s="1550"/>
      <c r="AH265" s="1557">
        <v>0</v>
      </c>
    </row>
    <row r="266" spans="1:34" s="1561" customFormat="1" ht="18.75" hidden="1" customHeight="1">
      <c r="A266" s="1705" t="s">
        <v>262</v>
      </c>
      <c r="B266" s="1705" t="s">
        <v>263</v>
      </c>
      <c r="C266" s="305"/>
      <c r="D266" s="5548"/>
      <c r="E266" s="5334"/>
      <c r="F266" s="5485" t="str">
        <f>INDEX(PT_DIFFERENTIATION_VTAR,MATCH(A266,PT_DIFFERENTIATION_VTAR_ID,0))</f>
        <v>Тариф на транспортировку воды</v>
      </c>
      <c r="G266" s="5522" t="str">
        <f>INDEX(PT_DIFFERENTIATION_NTAR,MATCH(B266,PT_DIFFERENTIATION_NTAR_ID,0))</f>
        <v/>
      </c>
      <c r="H266" s="1786"/>
      <c r="I266" s="1664"/>
      <c r="J266" s="1698"/>
      <c r="K266" s="1703"/>
      <c r="L266" s="1786" t="s">
        <v>333</v>
      </c>
      <c r="M266" s="278"/>
      <c r="N266" s="271"/>
      <c r="O266" s="1550"/>
      <c r="P266" s="1550"/>
      <c r="AH266" s="1557">
        <v>0</v>
      </c>
    </row>
    <row r="267" spans="1:34" s="1561" customFormat="1" ht="18.75" hidden="1" customHeight="1">
      <c r="A267" s="1705"/>
      <c r="B267" s="1705"/>
      <c r="C267" s="305" t="s">
        <v>1187</v>
      </c>
      <c r="D267" s="5548"/>
      <c r="E267" s="5334"/>
      <c r="F267" s="5485"/>
      <c r="G267" s="5522"/>
      <c r="H267" s="1426"/>
      <c r="I267" s="587" t="s">
        <v>1186</v>
      </c>
      <c r="J267" s="507"/>
      <c r="K267" s="1426"/>
      <c r="L267" s="152"/>
      <c r="M267" s="278"/>
      <c r="N267" s="271"/>
      <c r="O267" s="1550"/>
      <c r="P267" s="1550"/>
      <c r="AH267" s="1557">
        <v>0</v>
      </c>
    </row>
    <row r="268" spans="1:34" s="1561" customFormat="1" ht="0.75" hidden="1" customHeight="1">
      <c r="A268" s="1705"/>
      <c r="B268" s="1705"/>
      <c r="C268" s="305" t="s">
        <v>1194</v>
      </c>
      <c r="D268" s="5548"/>
      <c r="E268" s="5334"/>
      <c r="F268" s="5485"/>
      <c r="G268" s="336"/>
      <c r="H268" s="1426"/>
      <c r="I268" s="587"/>
      <c r="J268" s="507"/>
      <c r="K268" s="1426"/>
      <c r="L268" s="152"/>
      <c r="M268" s="278"/>
      <c r="N268" s="271"/>
      <c r="O268" s="1550"/>
      <c r="P268" s="1550"/>
      <c r="AH268" s="1557">
        <v>0</v>
      </c>
    </row>
    <row r="269" spans="1:34" s="1561" customFormat="1" ht="18.75" hidden="1" customHeight="1">
      <c r="A269" s="1705" t="s">
        <v>267</v>
      </c>
      <c r="B269" s="1705" t="s">
        <v>268</v>
      </c>
      <c r="C269" s="305"/>
      <c r="D269" s="5548"/>
      <c r="E269" s="5334"/>
      <c r="F269" s="5485" t="str">
        <f>INDEX(PT_DIFFERENTIATION_VTAR,MATCH(A269,PT_DIFFERENTIATION_VTAR_ID,0))</f>
        <v>Тариф на подвоз воды</v>
      </c>
      <c r="G269" s="5522" t="str">
        <f>INDEX(PT_DIFFERENTIATION_NTAR,MATCH(B269,PT_DIFFERENTIATION_NTAR_ID,0))</f>
        <v/>
      </c>
      <c r="H269" s="1786"/>
      <c r="I269" s="1664"/>
      <c r="J269" s="1698"/>
      <c r="K269" s="1703"/>
      <c r="L269" s="1786" t="s">
        <v>333</v>
      </c>
      <c r="M269" s="278"/>
      <c r="N269" s="271"/>
      <c r="O269" s="1550"/>
      <c r="P269" s="1550"/>
      <c r="AH269" s="1557">
        <v>0</v>
      </c>
    </row>
    <row r="270" spans="1:34" s="1561" customFormat="1" ht="18.75" hidden="1" customHeight="1">
      <c r="A270" s="1705"/>
      <c r="B270" s="1705"/>
      <c r="C270" s="305" t="s">
        <v>1187</v>
      </c>
      <c r="D270" s="5548"/>
      <c r="E270" s="5334"/>
      <c r="F270" s="5485"/>
      <c r="G270" s="5522"/>
      <c r="H270" s="1426"/>
      <c r="I270" s="587" t="s">
        <v>1186</v>
      </c>
      <c r="J270" s="507"/>
      <c r="K270" s="1426"/>
      <c r="L270" s="152"/>
      <c r="M270" s="278"/>
      <c r="N270" s="271"/>
      <c r="O270" s="1550"/>
      <c r="P270" s="1550"/>
      <c r="AH270" s="1557">
        <v>0</v>
      </c>
    </row>
    <row r="271" spans="1:34" s="1561" customFormat="1" ht="0.75" hidden="1" customHeight="1">
      <c r="A271" s="1705"/>
      <c r="B271" s="1705"/>
      <c r="C271" s="305" t="s">
        <v>1194</v>
      </c>
      <c r="D271" s="5548"/>
      <c r="E271" s="5334"/>
      <c r="F271" s="5485"/>
      <c r="G271" s="336"/>
      <c r="H271" s="1426"/>
      <c r="I271" s="587"/>
      <c r="J271" s="507"/>
      <c r="K271" s="1426"/>
      <c r="L271" s="152"/>
      <c r="M271" s="278"/>
      <c r="N271" s="271"/>
      <c r="O271" s="1550"/>
      <c r="P271" s="1550"/>
      <c r="AH271" s="1557">
        <v>0</v>
      </c>
    </row>
    <row r="272" spans="1:34" s="1561" customFormat="1" ht="18.75" hidden="1" customHeight="1">
      <c r="A272" s="1705" t="s">
        <v>272</v>
      </c>
      <c r="B272" s="1705" t="s">
        <v>273</v>
      </c>
      <c r="C272" s="305"/>
      <c r="D272" s="5548"/>
      <c r="E272" s="5334"/>
      <c r="F272" s="5485" t="str">
        <f>INDEX(PT_DIFFERENTIATION_VTAR,MATCH(A272,PT_DIFFERENTIATION_VTAR_ID,0))</f>
        <v>Тариф на подключение (технологическое присоединение) к централизованной системе холодного водоснабжения</v>
      </c>
      <c r="G272" s="5522" t="str">
        <f>INDEX(PT_DIFFERENTIATION_NTAR,MATCH(B272,PT_DIFFERENTIATION_NTAR_ID,0))</f>
        <v/>
      </c>
      <c r="H272" s="1786"/>
      <c r="I272" s="1664"/>
      <c r="J272" s="1698"/>
      <c r="K272" s="1703"/>
      <c r="L272" s="1786" t="s">
        <v>333</v>
      </c>
      <c r="M272" s="278"/>
      <c r="N272" s="271"/>
      <c r="O272" s="1550"/>
      <c r="P272" s="1550"/>
      <c r="AH272" s="1557">
        <v>0</v>
      </c>
    </row>
    <row r="273" spans="1:34" s="1561" customFormat="1" ht="18.75" hidden="1" customHeight="1">
      <c r="A273" s="1705"/>
      <c r="B273" s="1705"/>
      <c r="C273" s="305" t="s">
        <v>1187</v>
      </c>
      <c r="D273" s="5548"/>
      <c r="E273" s="5334"/>
      <c r="F273" s="5485"/>
      <c r="G273" s="5522"/>
      <c r="H273" s="1426"/>
      <c r="I273" s="587" t="s">
        <v>1186</v>
      </c>
      <c r="J273" s="507"/>
      <c r="K273" s="1426"/>
      <c r="L273" s="152"/>
      <c r="M273" s="278"/>
      <c r="N273" s="271"/>
      <c r="O273" s="1550"/>
      <c r="P273" s="1550"/>
      <c r="AH273" s="1557">
        <v>0</v>
      </c>
    </row>
    <row r="274" spans="1:34" s="1561" customFormat="1" ht="0.75" hidden="1" customHeight="1">
      <c r="A274" s="1705"/>
      <c r="B274" s="1705"/>
      <c r="C274" s="305" t="s">
        <v>1194</v>
      </c>
      <c r="D274" s="5548"/>
      <c r="E274" s="5334"/>
      <c r="F274" s="5485"/>
      <c r="G274" s="336"/>
      <c r="H274" s="1426"/>
      <c r="I274" s="587"/>
      <c r="J274" s="507"/>
      <c r="K274" s="1426"/>
      <c r="L274" s="152"/>
      <c r="M274" s="278"/>
      <c r="N274" s="271"/>
      <c r="O274" s="1550"/>
      <c r="P274" s="1550"/>
      <c r="AH274" s="1557">
        <v>0</v>
      </c>
    </row>
    <row r="275" spans="1:34" s="1561" customFormat="1" ht="18.75" hidden="1" customHeight="1">
      <c r="A275" s="1705" t="s">
        <v>277</v>
      </c>
      <c r="B275" s="1705" t="s">
        <v>278</v>
      </c>
      <c r="C275" s="305"/>
      <c r="D275" s="5548"/>
      <c r="E275" s="5334"/>
      <c r="F275" s="5485" t="str">
        <f>INDEX(PT_DIFFERENTIATION_VTAR,MATCH(A275,PT_DIFFERENTIATION_VTAR_ID,0))</f>
        <v>Тариф на горячую воду (горячее водоснабжение)</v>
      </c>
      <c r="G275" s="5522" t="str">
        <f>INDEX(PT_DIFFERENTIATION_NTAR,MATCH(B275,PT_DIFFERENTIATION_NTAR_ID,0))</f>
        <v/>
      </c>
      <c r="H275" s="1786"/>
      <c r="I275" s="1664"/>
      <c r="J275" s="1698"/>
      <c r="K275" s="1703"/>
      <c r="L275" s="1786" t="s">
        <v>333</v>
      </c>
      <c r="M275" s="278"/>
      <c r="N275" s="271"/>
      <c r="O275" s="1550"/>
      <c r="P275" s="1550"/>
      <c r="AH275" s="1557">
        <v>0</v>
      </c>
    </row>
    <row r="276" spans="1:34" s="1561" customFormat="1" ht="18.75" hidden="1" customHeight="1">
      <c r="A276" s="1705"/>
      <c r="B276" s="1705"/>
      <c r="C276" s="305" t="s">
        <v>1187</v>
      </c>
      <c r="D276" s="5548"/>
      <c r="E276" s="5334"/>
      <c r="F276" s="5485"/>
      <c r="G276" s="5522"/>
      <c r="H276" s="1426"/>
      <c r="I276" s="587" t="s">
        <v>1186</v>
      </c>
      <c r="J276" s="507"/>
      <c r="K276" s="1426"/>
      <c r="L276" s="152"/>
      <c r="M276" s="278"/>
      <c r="N276" s="271"/>
      <c r="O276" s="1550"/>
      <c r="P276" s="1550"/>
      <c r="AH276" s="1557">
        <v>0</v>
      </c>
    </row>
    <row r="277" spans="1:34" s="1561" customFormat="1" ht="0.75" hidden="1" customHeight="1">
      <c r="A277" s="1705"/>
      <c r="B277" s="1705"/>
      <c r="C277" s="305" t="s">
        <v>1194</v>
      </c>
      <c r="D277" s="5548"/>
      <c r="E277" s="5334"/>
      <c r="F277" s="5485"/>
      <c r="G277" s="336"/>
      <c r="H277" s="1426"/>
      <c r="I277" s="587"/>
      <c r="J277" s="507"/>
      <c r="K277" s="1426"/>
      <c r="L277" s="152"/>
      <c r="M277" s="278"/>
      <c r="N277" s="271"/>
      <c r="O277" s="1550"/>
      <c r="P277" s="1550"/>
      <c r="AH277" s="1557">
        <v>0</v>
      </c>
    </row>
    <row r="278" spans="1:34" s="1561" customFormat="1" ht="18.75" hidden="1" customHeight="1">
      <c r="A278" s="1705" t="s">
        <v>282</v>
      </c>
      <c r="B278" s="1705" t="s">
        <v>283</v>
      </c>
      <c r="C278" s="305"/>
      <c r="D278" s="5548"/>
      <c r="E278" s="5334"/>
      <c r="F278" s="5485" t="str">
        <f>INDEX(PT_DIFFERENTIATION_VTAR,MATCH(A278,PT_DIFFERENTIATION_VTAR_ID,0))</f>
        <v>Тариф на транспортировку горячей воды</v>
      </c>
      <c r="G278" s="5522" t="str">
        <f>INDEX(PT_DIFFERENTIATION_NTAR,MATCH(B278,PT_DIFFERENTIATION_NTAR_ID,0))</f>
        <v/>
      </c>
      <c r="H278" s="1786"/>
      <c r="I278" s="1664"/>
      <c r="J278" s="1698"/>
      <c r="K278" s="1703"/>
      <c r="L278" s="1786" t="s">
        <v>333</v>
      </c>
      <c r="M278" s="278"/>
      <c r="N278" s="271"/>
      <c r="O278" s="1550"/>
      <c r="P278" s="1550"/>
      <c r="AH278" s="1557">
        <v>0</v>
      </c>
    </row>
    <row r="279" spans="1:34" s="1561" customFormat="1" ht="18.75" hidden="1" customHeight="1">
      <c r="A279" s="1705"/>
      <c r="B279" s="1705"/>
      <c r="C279" s="305" t="s">
        <v>1187</v>
      </c>
      <c r="D279" s="5548"/>
      <c r="E279" s="5334"/>
      <c r="F279" s="5485"/>
      <c r="G279" s="5522"/>
      <c r="H279" s="1426"/>
      <c r="I279" s="587" t="s">
        <v>1186</v>
      </c>
      <c r="J279" s="507"/>
      <c r="K279" s="1426"/>
      <c r="L279" s="152"/>
      <c r="M279" s="278"/>
      <c r="N279" s="271"/>
      <c r="O279" s="1550"/>
      <c r="P279" s="1550"/>
      <c r="AH279" s="1557">
        <v>0</v>
      </c>
    </row>
    <row r="280" spans="1:34" s="1561" customFormat="1" ht="0.75" hidden="1" customHeight="1">
      <c r="A280" s="1705"/>
      <c r="B280" s="1705"/>
      <c r="C280" s="305" t="s">
        <v>1194</v>
      </c>
      <c r="D280" s="5548"/>
      <c r="E280" s="5334"/>
      <c r="F280" s="5485"/>
      <c r="G280" s="336"/>
      <c r="H280" s="1426"/>
      <c r="I280" s="587"/>
      <c r="J280" s="507"/>
      <c r="K280" s="1426"/>
      <c r="L280" s="152"/>
      <c r="M280" s="278"/>
      <c r="N280" s="271"/>
      <c r="O280" s="1550"/>
      <c r="P280" s="1550"/>
      <c r="AH280" s="1557">
        <v>0</v>
      </c>
    </row>
    <row r="281" spans="1:34" s="1561" customFormat="1" ht="18.75" hidden="1" customHeight="1">
      <c r="A281" s="1705" t="s">
        <v>287</v>
      </c>
      <c r="B281" s="1705" t="s">
        <v>288</v>
      </c>
      <c r="C281" s="305"/>
      <c r="D281" s="5548"/>
      <c r="E281" s="5334"/>
      <c r="F281" s="5485" t="str">
        <f>INDEX(PT_DIFFERENTIATION_VTAR,MATCH(A281,PT_DIFFERENTIATION_VTAR_ID,0))</f>
        <v>Тариф на подключение (технологическое присоединение) к централизованной системе горячего водоснабжения</v>
      </c>
      <c r="G281" s="5522" t="str">
        <f>INDEX(PT_DIFFERENTIATION_NTAR,MATCH(B281,PT_DIFFERENTIATION_NTAR_ID,0))</f>
        <v/>
      </c>
      <c r="H281" s="1786"/>
      <c r="I281" s="1664"/>
      <c r="J281" s="1698"/>
      <c r="K281" s="1703"/>
      <c r="L281" s="1786" t="s">
        <v>333</v>
      </c>
      <c r="M281" s="278"/>
      <c r="N281" s="271"/>
      <c r="O281" s="1550"/>
      <c r="P281" s="1550"/>
      <c r="AH281" s="1557">
        <v>0</v>
      </c>
    </row>
    <row r="282" spans="1:34" s="1561" customFormat="1" ht="18.75" hidden="1" customHeight="1">
      <c r="A282" s="1705"/>
      <c r="B282" s="1705"/>
      <c r="C282" s="305" t="s">
        <v>1187</v>
      </c>
      <c r="D282" s="5548"/>
      <c r="E282" s="5334"/>
      <c r="F282" s="5485"/>
      <c r="G282" s="5522"/>
      <c r="H282" s="1426"/>
      <c r="I282" s="587" t="s">
        <v>1186</v>
      </c>
      <c r="J282" s="507"/>
      <c r="K282" s="1426"/>
      <c r="L282" s="152"/>
      <c r="M282" s="278"/>
      <c r="N282" s="271"/>
      <c r="O282" s="1550"/>
      <c r="P282" s="1550"/>
      <c r="AH282" s="1557">
        <v>0</v>
      </c>
    </row>
    <row r="283" spans="1:34" s="1561" customFormat="1" ht="0.75" hidden="1" customHeight="1">
      <c r="A283" s="1705"/>
      <c r="B283" s="1705"/>
      <c r="C283" s="305" t="s">
        <v>1194</v>
      </c>
      <c r="D283" s="5548"/>
      <c r="E283" s="5334"/>
      <c r="F283" s="5485"/>
      <c r="G283" s="336"/>
      <c r="H283" s="1426"/>
      <c r="I283" s="587"/>
      <c r="J283" s="507"/>
      <c r="K283" s="1426"/>
      <c r="L283" s="152"/>
      <c r="M283" s="278"/>
      <c r="N283" s="271"/>
      <c r="O283" s="1550"/>
      <c r="P283" s="1550"/>
      <c r="AH283" s="1557">
        <v>0</v>
      </c>
    </row>
    <row r="284" spans="1:34" s="1561" customFormat="1" ht="18.75" hidden="1" customHeight="1">
      <c r="A284" s="1705" t="s">
        <v>292</v>
      </c>
      <c r="B284" s="1705" t="s">
        <v>293</v>
      </c>
      <c r="C284" s="305"/>
      <c r="D284" s="5548"/>
      <c r="E284" s="5334"/>
      <c r="F284" s="5485" t="str">
        <f>INDEX(PT_DIFFERENTIATION_VTAR,MATCH(A284,PT_DIFFERENTIATION_VTAR_ID,0))</f>
        <v>Тариф на водоотведение</v>
      </c>
      <c r="G284" s="5522" t="str">
        <f>INDEX(PT_DIFFERENTIATION_NTAR,MATCH(B284,PT_DIFFERENTIATION_NTAR_ID,0))</f>
        <v/>
      </c>
      <c r="H284" s="1786"/>
      <c r="I284" s="1664"/>
      <c r="J284" s="1698"/>
      <c r="K284" s="1703"/>
      <c r="L284" s="1786" t="s">
        <v>333</v>
      </c>
      <c r="M284" s="278"/>
      <c r="N284" s="271"/>
      <c r="O284" s="1550"/>
      <c r="P284" s="1550"/>
      <c r="AH284" s="1557">
        <v>0</v>
      </c>
    </row>
    <row r="285" spans="1:34" s="1561" customFormat="1" ht="18.75" hidden="1" customHeight="1">
      <c r="A285" s="1705"/>
      <c r="B285" s="1705"/>
      <c r="C285" s="305" t="s">
        <v>1187</v>
      </c>
      <c r="D285" s="5548"/>
      <c r="E285" s="5334"/>
      <c r="F285" s="5485"/>
      <c r="G285" s="5522"/>
      <c r="H285" s="1426"/>
      <c r="I285" s="587" t="s">
        <v>1186</v>
      </c>
      <c r="J285" s="507"/>
      <c r="K285" s="1426"/>
      <c r="L285" s="152"/>
      <c r="M285" s="278"/>
      <c r="N285" s="271"/>
      <c r="O285" s="1550"/>
      <c r="P285" s="1550"/>
      <c r="AH285" s="1557">
        <v>0</v>
      </c>
    </row>
    <row r="286" spans="1:34" s="1561" customFormat="1" ht="0.75" hidden="1" customHeight="1">
      <c r="A286" s="1705"/>
      <c r="B286" s="1705"/>
      <c r="C286" s="305" t="s">
        <v>1194</v>
      </c>
      <c r="D286" s="5548"/>
      <c r="E286" s="5334"/>
      <c r="F286" s="5485"/>
      <c r="G286" s="336"/>
      <c r="H286" s="1426"/>
      <c r="I286" s="587"/>
      <c r="J286" s="507"/>
      <c r="K286" s="1426"/>
      <c r="L286" s="152"/>
      <c r="M286" s="278"/>
      <c r="N286" s="271"/>
      <c r="O286" s="1550"/>
      <c r="P286" s="1550"/>
      <c r="AH286" s="1557">
        <v>0</v>
      </c>
    </row>
    <row r="287" spans="1:34" s="1561" customFormat="1" ht="18.75" hidden="1" customHeight="1">
      <c r="A287" s="1705" t="s">
        <v>297</v>
      </c>
      <c r="B287" s="1705" t="s">
        <v>298</v>
      </c>
      <c r="C287" s="305"/>
      <c r="D287" s="5548"/>
      <c r="E287" s="5334"/>
      <c r="F287" s="5485" t="str">
        <f>INDEX(PT_DIFFERENTIATION_VTAR,MATCH(A287,PT_DIFFERENTIATION_VTAR_ID,0))</f>
        <v>Тариф на транспортировку сточных вод</v>
      </c>
      <c r="G287" s="5522" t="str">
        <f>INDEX(PT_DIFFERENTIATION_NTAR,MATCH(B287,PT_DIFFERENTIATION_NTAR_ID,0))</f>
        <v/>
      </c>
      <c r="H287" s="1786"/>
      <c r="I287" s="1664"/>
      <c r="J287" s="1698"/>
      <c r="K287" s="1703"/>
      <c r="L287" s="1786" t="s">
        <v>333</v>
      </c>
      <c r="M287" s="278"/>
      <c r="N287" s="271"/>
      <c r="O287" s="1550"/>
      <c r="P287" s="1550"/>
      <c r="AH287" s="1557">
        <v>0</v>
      </c>
    </row>
    <row r="288" spans="1:34" s="1561" customFormat="1" ht="18.75" hidden="1" customHeight="1">
      <c r="A288" s="1705"/>
      <c r="B288" s="1705"/>
      <c r="C288" s="305" t="s">
        <v>1187</v>
      </c>
      <c r="D288" s="5548"/>
      <c r="E288" s="5334"/>
      <c r="F288" s="5485"/>
      <c r="G288" s="5522"/>
      <c r="H288" s="1426"/>
      <c r="I288" s="587" t="s">
        <v>1186</v>
      </c>
      <c r="J288" s="507"/>
      <c r="K288" s="1426"/>
      <c r="L288" s="152"/>
      <c r="M288" s="278"/>
      <c r="N288" s="271"/>
      <c r="O288" s="1550"/>
      <c r="P288" s="1550"/>
      <c r="AH288" s="1557">
        <v>0</v>
      </c>
    </row>
    <row r="289" spans="1:34" s="1561" customFormat="1" ht="0.75" hidden="1" customHeight="1">
      <c r="A289" s="1705"/>
      <c r="B289" s="1705"/>
      <c r="C289" s="305" t="s">
        <v>1194</v>
      </c>
      <c r="D289" s="5548"/>
      <c r="E289" s="5334"/>
      <c r="F289" s="5485"/>
      <c r="G289" s="336"/>
      <c r="H289" s="1426"/>
      <c r="I289" s="587"/>
      <c r="J289" s="507"/>
      <c r="K289" s="1426"/>
      <c r="L289" s="152"/>
      <c r="M289" s="278"/>
      <c r="N289" s="271"/>
      <c r="O289" s="1550"/>
      <c r="P289" s="1550"/>
      <c r="AH289" s="1557">
        <v>0</v>
      </c>
    </row>
    <row r="290" spans="1:34" s="1561" customFormat="1" ht="18.75" hidden="1" customHeight="1">
      <c r="A290" s="1705" t="s">
        <v>302</v>
      </c>
      <c r="B290" s="1705" t="s">
        <v>303</v>
      </c>
      <c r="C290" s="305"/>
      <c r="D290" s="5548"/>
      <c r="E290" s="5334"/>
      <c r="F290" s="5485" t="str">
        <f>INDEX(PT_DIFFERENTIATION_VTAR,MATCH(A290,PT_DIFFERENTIATION_VTAR_ID,0))</f>
        <v>Тариф на подключение (технологическое присоединение) к централизованной системе водоотведения</v>
      </c>
      <c r="G290" s="5522" t="str">
        <f>INDEX(PT_DIFFERENTIATION_NTAR,MATCH(B290,PT_DIFFERENTIATION_NTAR_ID,0))</f>
        <v/>
      </c>
      <c r="H290" s="1786"/>
      <c r="I290" s="1664"/>
      <c r="J290" s="1698"/>
      <c r="K290" s="1703"/>
      <c r="L290" s="1786" t="s">
        <v>333</v>
      </c>
      <c r="M290" s="278"/>
      <c r="N290" s="271"/>
      <c r="O290" s="1550"/>
      <c r="P290" s="1550"/>
      <c r="AH290" s="1557">
        <v>0</v>
      </c>
    </row>
    <row r="291" spans="1:34" s="1561" customFormat="1" ht="18.75" hidden="1" customHeight="1">
      <c r="A291" s="1705"/>
      <c r="B291" s="1705"/>
      <c r="C291" s="305" t="s">
        <v>1187</v>
      </c>
      <c r="D291" s="5548"/>
      <c r="E291" s="5334"/>
      <c r="F291" s="5485"/>
      <c r="G291" s="5522"/>
      <c r="H291" s="1426"/>
      <c r="I291" s="587" t="s">
        <v>1186</v>
      </c>
      <c r="J291" s="507"/>
      <c r="K291" s="1426"/>
      <c r="L291" s="152"/>
      <c r="M291" s="278"/>
      <c r="N291" s="271"/>
      <c r="O291" s="1550"/>
      <c r="P291" s="1550"/>
      <c r="AH291" s="1557">
        <v>0</v>
      </c>
    </row>
    <row r="292" spans="1:34" s="1561" customFormat="1" ht="1.1499999999999999" customHeight="1">
      <c r="A292" s="1705"/>
      <c r="B292" s="1705"/>
      <c r="C292" s="305" t="s">
        <v>1194</v>
      </c>
      <c r="D292" s="5548"/>
      <c r="E292" s="5334"/>
      <c r="F292" s="5485"/>
      <c r="G292" s="336"/>
      <c r="H292" s="1426"/>
      <c r="I292" s="587"/>
      <c r="J292" s="507"/>
      <c r="K292" s="1426"/>
      <c r="L292" s="152"/>
      <c r="M292" s="278"/>
      <c r="N292" s="271"/>
      <c r="O292" s="1550"/>
      <c r="P292" s="1550"/>
      <c r="AH292" s="1557">
        <v>1</v>
      </c>
    </row>
    <row r="293" spans="1:34" ht="27.4" customHeight="1">
      <c r="A293" s="1705"/>
      <c r="B293" s="1705"/>
      <c r="D293" s="312"/>
      <c r="E293" s="85" t="s">
        <v>94</v>
      </c>
      <c r="F293" s="554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93" s="5546"/>
      <c r="H293" s="5546"/>
      <c r="I293" s="5546"/>
      <c r="J293" s="5546"/>
      <c r="K293" s="5546"/>
      <c r="L293" s="5546"/>
      <c r="M293" s="234"/>
      <c r="N293" s="271"/>
      <c r="AH293" s="310">
        <v>26</v>
      </c>
    </row>
    <row r="294" spans="1:34" s="1561" customFormat="1" ht="60.75" hidden="1" customHeight="1">
      <c r="A294" s="1705" t="s">
        <v>158</v>
      </c>
      <c r="B294" s="1705" t="s">
        <v>159</v>
      </c>
      <c r="C294" s="305"/>
      <c r="D294" s="5548"/>
      <c r="E294" s="5334"/>
      <c r="F294" s="5485" t="str">
        <f>INDEX(PT_DIFFERENTIATION_VTAR,MATCH(A294,PT_DIFFERENTIATION_VTAR_ID,0))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94" s="5522" t="str">
        <f>INDEX(PT_DIFFERENTIATION_NTAR,MATCH(B294,PT_DIFFERENTIATION_NTAR_ID,0))</f>
        <v>Тариф на тепловую энергию, поставляемую ПАО "ТГК-1" потребителям, расположенным на территории Санкт-Петербурга</v>
      </c>
      <c r="H294" s="1786"/>
      <c r="I294" s="1664"/>
      <c r="J294" s="1698"/>
      <c r="K294" s="1703"/>
      <c r="L294" s="1786" t="s">
        <v>333</v>
      </c>
      <c r="M294" s="52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94" s="271"/>
      <c r="O294" s="1550"/>
      <c r="P294" s="1550"/>
      <c r="AH294" s="1557">
        <v>0</v>
      </c>
    </row>
    <row r="295" spans="1:34" s="1561" customFormat="1" ht="18.75" hidden="1" customHeight="1">
      <c r="A295" s="1705"/>
      <c r="B295" s="1705"/>
      <c r="C295" s="305" t="s">
        <v>1187</v>
      </c>
      <c r="D295" s="5548"/>
      <c r="E295" s="5334"/>
      <c r="F295" s="5485"/>
      <c r="G295" s="5522"/>
      <c r="H295" s="1426"/>
      <c r="I295" s="587" t="s">
        <v>1186</v>
      </c>
      <c r="J295" s="507"/>
      <c r="K295" s="1426"/>
      <c r="L295" s="152"/>
      <c r="M295" s="5282"/>
      <c r="N295" s="271"/>
      <c r="O295" s="1550"/>
      <c r="P295" s="1550"/>
      <c r="AH295" s="1557">
        <v>0</v>
      </c>
    </row>
    <row r="296" spans="1:34" s="1561" customFormat="1" ht="18.75" customHeight="1">
      <c r="A296" s="1747" t="s">
        <v>158</v>
      </c>
      <c r="B296" s="1747" t="s">
        <v>168</v>
      </c>
      <c r="C296" s="1613"/>
      <c r="D296" s="5551"/>
      <c r="E296" s="5555"/>
      <c r="F296" s="5555"/>
      <c r="G296" s="5522" t="str">
        <f>INDEX(PT_DIFFERENTIATION_NTAR,MATCH(B296,PT_DIFFERENTIATION_NTAR_ID,0))</f>
        <v>Тариф на тепловую энергию, поставляемую ПАО "ТГК-1" на коллекторах источников тепловой энергии потребителям, расположенным на территории Санкт-Петербурга</v>
      </c>
      <c r="H296" s="2010"/>
      <c r="I296" s="1664"/>
      <c r="J296" s="1698"/>
      <c r="K296" s="1703"/>
      <c r="L296" s="2010" t="s">
        <v>333</v>
      </c>
      <c r="M296" s="5431"/>
      <c r="N296" s="554"/>
      <c r="O296" s="1550"/>
      <c r="P296" s="1550"/>
      <c r="AH296" s="1561">
        <v>0</v>
      </c>
    </row>
    <row r="297" spans="1:34" s="1561" customFormat="1" ht="18.75" customHeight="1">
      <c r="A297" s="1747"/>
      <c r="B297" s="1747"/>
      <c r="C297" s="1613" t="s">
        <v>1187</v>
      </c>
      <c r="D297" s="5551"/>
      <c r="E297" s="5555"/>
      <c r="F297" s="5555"/>
      <c r="G297" s="5522"/>
      <c r="H297" s="2450"/>
      <c r="I297" s="2451" t="s">
        <v>1186</v>
      </c>
      <c r="J297" s="2452"/>
      <c r="K297" s="2453"/>
      <c r="L297" s="2454"/>
      <c r="M297" s="5431"/>
      <c r="N297" s="554"/>
      <c r="O297" s="1550"/>
      <c r="P297" s="1550"/>
      <c r="AH297" s="1561">
        <v>0</v>
      </c>
    </row>
    <row r="298" spans="1:34" s="1561" customFormat="1" ht="18.75" customHeight="1">
      <c r="A298" s="1747" t="s">
        <v>158</v>
      </c>
      <c r="B298" s="1747" t="s">
        <v>173</v>
      </c>
      <c r="C298" s="1613"/>
      <c r="D298" s="5551"/>
      <c r="E298" s="5555"/>
      <c r="F298" s="5555"/>
      <c r="G298" s="5522" t="str">
        <f>INDEX(PT_DIFFERENTIATION_NTAR,MATCH(B298,PT_DIFFERENTIATION_NTAR_ID,0))</f>
        <v>Тариф на тепловую энергию (мощность), поставляемую ПАО "ТГК-1" теплоснабжающим, теплосетевым организациям, приобретающим тепловую энергию с целью компенсации потерь тепловой энергии</v>
      </c>
      <c r="H298" s="2010"/>
      <c r="I298" s="1664"/>
      <c r="J298" s="1698"/>
      <c r="K298" s="1703"/>
      <c r="L298" s="2010" t="s">
        <v>333</v>
      </c>
      <c r="M298" s="5431"/>
      <c r="N298" s="554"/>
      <c r="O298" s="1550"/>
      <c r="P298" s="1550"/>
      <c r="AH298" s="1561">
        <v>0</v>
      </c>
    </row>
    <row r="299" spans="1:34" s="1561" customFormat="1" ht="18.75" customHeight="1">
      <c r="A299" s="1747"/>
      <c r="B299" s="1747"/>
      <c r="C299" s="1613" t="s">
        <v>1187</v>
      </c>
      <c r="D299" s="5551"/>
      <c r="E299" s="5555"/>
      <c r="F299" s="5555"/>
      <c r="G299" s="5522"/>
      <c r="H299" s="2455"/>
      <c r="I299" s="2456" t="s">
        <v>1186</v>
      </c>
      <c r="J299" s="2457"/>
      <c r="K299" s="2458"/>
      <c r="L299" s="2459"/>
      <c r="M299" s="5431"/>
      <c r="N299" s="554"/>
      <c r="O299" s="1550"/>
      <c r="P299" s="1550"/>
      <c r="AH299" s="1561">
        <v>0</v>
      </c>
    </row>
    <row r="300" spans="1:34" s="1561" customFormat="1" ht="18.75" customHeight="1">
      <c r="A300" s="1747" t="s">
        <v>158</v>
      </c>
      <c r="B300" s="1747" t="s">
        <v>178</v>
      </c>
      <c r="C300" s="1613"/>
      <c r="D300" s="5551"/>
      <c r="E300" s="5555"/>
      <c r="F300" s="5555"/>
      <c r="G300" s="5522" t="str">
        <f>INDEX(PT_DIFFERENTIATION_NTAR,MATCH(B300,PT_DIFFERENTIATION_NTAR_ID,0))</f>
        <v>Льготные тарифы на тепловую энергию, поставляемую ПАО "ТГК-1" потребителям, расположенным на территории Санкт-Петербурга</v>
      </c>
      <c r="H300" s="2010"/>
      <c r="I300" s="1664"/>
      <c r="J300" s="1698"/>
      <c r="K300" s="1703"/>
      <c r="L300" s="2010" t="s">
        <v>333</v>
      </c>
      <c r="M300" s="5431"/>
      <c r="N300" s="554"/>
      <c r="O300" s="1550"/>
      <c r="P300" s="1550"/>
      <c r="AH300" s="1561">
        <v>0</v>
      </c>
    </row>
    <row r="301" spans="1:34" s="1561" customFormat="1" ht="18.75" customHeight="1">
      <c r="A301" s="1747"/>
      <c r="B301" s="1747"/>
      <c r="C301" s="1613" t="s">
        <v>1187</v>
      </c>
      <c r="D301" s="5551"/>
      <c r="E301" s="5555"/>
      <c r="F301" s="5555"/>
      <c r="G301" s="5522"/>
      <c r="H301" s="2460"/>
      <c r="I301" s="2461" t="s">
        <v>1186</v>
      </c>
      <c r="J301" s="2462"/>
      <c r="K301" s="2463"/>
      <c r="L301" s="2464"/>
      <c r="M301" s="5431"/>
      <c r="N301" s="554"/>
      <c r="O301" s="1550"/>
      <c r="P301" s="1550"/>
      <c r="AH301" s="1561">
        <v>0</v>
      </c>
    </row>
    <row r="302" spans="1:34" s="1561" customFormat="1" ht="0.75" hidden="1" customHeight="1">
      <c r="A302" s="1705"/>
      <c r="B302" s="1705"/>
      <c r="C302" s="305" t="s">
        <v>1194</v>
      </c>
      <c r="D302" s="5548"/>
      <c r="E302" s="5334"/>
      <c r="F302" s="5485"/>
      <c r="G302" s="336"/>
      <c r="H302" s="1426"/>
      <c r="I302" s="587"/>
      <c r="J302" s="507"/>
      <c r="K302" s="1426"/>
      <c r="L302" s="152"/>
      <c r="M302" s="5282"/>
      <c r="N302" s="271"/>
      <c r="O302" s="1550"/>
      <c r="P302" s="1550"/>
      <c r="AH302" s="1557">
        <v>0</v>
      </c>
    </row>
    <row r="303" spans="1:34" s="1561" customFormat="1" ht="45" hidden="1" customHeight="1">
      <c r="A303" s="1705" t="s">
        <v>184</v>
      </c>
      <c r="B303" s="1705" t="s">
        <v>185</v>
      </c>
      <c r="C303" s="305"/>
      <c r="D303" s="5548"/>
      <c r="E303" s="5334"/>
      <c r="F303" s="5485" t="str">
        <f>INDEX(PT_DIFFERENTIATION_VTAR,MATCH(A303,PT_DIFFERENTIATION_VTAR_ID,0))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03" s="5522" t="str">
        <f>INDEX(PT_DIFFERENTIATION_NTAR,MATCH(B303,PT_DIFFERENTIATION_NTAR_ID,0))</f>
        <v/>
      </c>
      <c r="H303" s="1786"/>
      <c r="I303" s="1664"/>
      <c r="J303" s="1698"/>
      <c r="K303" s="1703"/>
      <c r="L303" s="1786" t="s">
        <v>333</v>
      </c>
      <c r="M303" s="5283"/>
      <c r="N303" s="271"/>
      <c r="O303" s="1550"/>
      <c r="P303" s="1550"/>
      <c r="AH303" s="1557">
        <v>0</v>
      </c>
    </row>
    <row r="304" spans="1:34" s="1561" customFormat="1" ht="18.75" hidden="1" customHeight="1">
      <c r="A304" s="1705"/>
      <c r="B304" s="1705"/>
      <c r="C304" s="305" t="s">
        <v>1187</v>
      </c>
      <c r="D304" s="5548"/>
      <c r="E304" s="5334"/>
      <c r="F304" s="5485"/>
      <c r="G304" s="5522"/>
      <c r="H304" s="1426"/>
      <c r="I304" s="587" t="s">
        <v>1186</v>
      </c>
      <c r="J304" s="507"/>
      <c r="K304" s="1426"/>
      <c r="L304" s="152"/>
      <c r="M304" s="1785"/>
      <c r="N304" s="271"/>
      <c r="O304" s="1550"/>
      <c r="P304" s="1550"/>
      <c r="AH304" s="1557">
        <v>0</v>
      </c>
    </row>
    <row r="305" spans="1:34" s="1561" customFormat="1" ht="0.75" hidden="1" customHeight="1">
      <c r="A305" s="1705"/>
      <c r="B305" s="1705"/>
      <c r="C305" s="305" t="s">
        <v>1194</v>
      </c>
      <c r="D305" s="5548"/>
      <c r="E305" s="5334"/>
      <c r="F305" s="5485"/>
      <c r="G305" s="336"/>
      <c r="H305" s="1426"/>
      <c r="I305" s="587"/>
      <c r="J305" s="507"/>
      <c r="K305" s="1426"/>
      <c r="L305" s="152"/>
      <c r="M305" s="278"/>
      <c r="N305" s="271"/>
      <c r="O305" s="1550"/>
      <c r="P305" s="1550"/>
      <c r="AH305" s="1557">
        <v>0</v>
      </c>
    </row>
    <row r="306" spans="1:34" s="1561" customFormat="1" ht="45" hidden="1" customHeight="1">
      <c r="A306" s="1705" t="s">
        <v>192</v>
      </c>
      <c r="B306" s="1705" t="s">
        <v>193</v>
      </c>
      <c r="C306" s="305"/>
      <c r="D306" s="5548"/>
      <c r="E306" s="5334"/>
      <c r="F306" s="5485" t="str">
        <f>INDEX(PT_DIFFERENTIATION_VTAR,MATCH(A306,PT_DIFFERENTIATION_VTAR_ID,0))</f>
        <v>Тарифы на теплоноситель, поставляемый теплоснабжающими организациями потребителям, другим теплоснабжающим организациям</v>
      </c>
      <c r="G306" s="5522" t="str">
        <f>INDEX(PT_DIFFERENTIATION_NTAR,MATCH(B306,PT_DIFFERENTIATION_NTAR_ID,0))</f>
        <v>Тариф на теплоноситель, поставляемый ПАО "ТГК-1" потребителям, расположенным на территории Санкт-Петербурга</v>
      </c>
      <c r="H306" s="1786"/>
      <c r="I306" s="1664"/>
      <c r="J306" s="1698"/>
      <c r="K306" s="1703"/>
      <c r="L306" s="1786" t="s">
        <v>333</v>
      </c>
      <c r="M306" s="278"/>
      <c r="N306" s="271"/>
      <c r="O306" s="1550"/>
      <c r="P306" s="1550"/>
      <c r="AH306" s="1557">
        <v>0</v>
      </c>
    </row>
    <row r="307" spans="1:34" s="1561" customFormat="1" ht="18.75" hidden="1" customHeight="1">
      <c r="A307" s="1705"/>
      <c r="B307" s="1705"/>
      <c r="C307" s="305" t="s">
        <v>1187</v>
      </c>
      <c r="D307" s="5548"/>
      <c r="E307" s="5334"/>
      <c r="F307" s="5485"/>
      <c r="G307" s="5522"/>
      <c r="H307" s="1426"/>
      <c r="I307" s="587" t="s">
        <v>1186</v>
      </c>
      <c r="J307" s="507"/>
      <c r="K307" s="1426"/>
      <c r="L307" s="152"/>
      <c r="M307" s="278"/>
      <c r="N307" s="271"/>
      <c r="O307" s="1550"/>
      <c r="P307" s="1550"/>
      <c r="AH307" s="1557">
        <v>0</v>
      </c>
    </row>
    <row r="308" spans="1:34" s="1561" customFormat="1" ht="0.75" hidden="1" customHeight="1">
      <c r="A308" s="1705"/>
      <c r="B308" s="1705"/>
      <c r="C308" s="305" t="s">
        <v>1194</v>
      </c>
      <c r="D308" s="5548"/>
      <c r="E308" s="5334"/>
      <c r="F308" s="5485"/>
      <c r="G308" s="336"/>
      <c r="H308" s="1426"/>
      <c r="I308" s="587"/>
      <c r="J308" s="507"/>
      <c r="K308" s="1426"/>
      <c r="L308" s="152"/>
      <c r="M308" s="278"/>
      <c r="N308" s="271"/>
      <c r="O308" s="1550"/>
      <c r="P308" s="1550"/>
      <c r="AH308" s="1557">
        <v>0</v>
      </c>
    </row>
    <row r="309" spans="1:34" s="1561" customFormat="1" ht="45" hidden="1" customHeight="1">
      <c r="A309" s="1705" t="s">
        <v>200</v>
      </c>
      <c r="B309" s="1705" t="s">
        <v>201</v>
      </c>
      <c r="C309" s="305"/>
      <c r="D309" s="5548"/>
      <c r="E309" s="5334"/>
      <c r="F309" s="5485" t="str">
        <f>INDEX(PT_DIFFERENTIATION_VTAR,MATCH(A309,PT_DIFFERENTIATION_VTAR_ID,0))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09" s="5522" t="str">
        <f>INDEX(PT_DIFFERENTIATION_NTAR,MATCH(B309,PT_DIFFERENTIATION_NTAR_ID,0))</f>
        <v>Тариф на горячую воду (горячее водоснабжение), поставляемую ПАО "ТГК-1" в открытых системах теплоснабжения потребителям, расположенным на территории Санкт-Петербурга</v>
      </c>
      <c r="H309" s="1786"/>
      <c r="I309" s="1664"/>
      <c r="J309" s="1698"/>
      <c r="K309" s="1703"/>
      <c r="L309" s="1786" t="s">
        <v>333</v>
      </c>
      <c r="M309" s="278"/>
      <c r="N309" s="271"/>
      <c r="O309" s="1550"/>
      <c r="P309" s="1550"/>
      <c r="AH309" s="1557">
        <v>0</v>
      </c>
    </row>
    <row r="310" spans="1:34" s="1561" customFormat="1" ht="18.75" hidden="1" customHeight="1">
      <c r="A310" s="1705"/>
      <c r="B310" s="1705"/>
      <c r="C310" s="305" t="s">
        <v>1187</v>
      </c>
      <c r="D310" s="5548"/>
      <c r="E310" s="5334"/>
      <c r="F310" s="5485"/>
      <c r="G310" s="5522"/>
      <c r="H310" s="1426"/>
      <c r="I310" s="587" t="s">
        <v>1186</v>
      </c>
      <c r="J310" s="507"/>
      <c r="K310" s="1426"/>
      <c r="L310" s="152"/>
      <c r="M310" s="278"/>
      <c r="N310" s="271"/>
      <c r="O310" s="1550"/>
      <c r="P310" s="1550"/>
      <c r="AH310" s="1557">
        <v>0</v>
      </c>
    </row>
    <row r="311" spans="1:34" s="1561" customFormat="1" ht="0.75" hidden="1" customHeight="1">
      <c r="A311" s="1705"/>
      <c r="B311" s="1705"/>
      <c r="C311" s="305" t="s">
        <v>1194</v>
      </c>
      <c r="D311" s="5548"/>
      <c r="E311" s="5334"/>
      <c r="F311" s="5485"/>
      <c r="G311" s="336"/>
      <c r="H311" s="1426"/>
      <c r="I311" s="587"/>
      <c r="J311" s="507"/>
      <c r="K311" s="1426"/>
      <c r="L311" s="152"/>
      <c r="M311" s="278"/>
      <c r="N311" s="271"/>
      <c r="O311" s="1550"/>
      <c r="P311" s="1550"/>
      <c r="AH311" s="1557">
        <v>0</v>
      </c>
    </row>
    <row r="312" spans="1:34" s="1561" customFormat="1" ht="18.75" hidden="1" customHeight="1">
      <c r="A312" s="1705" t="s">
        <v>206</v>
      </c>
      <c r="B312" s="1705" t="s">
        <v>207</v>
      </c>
      <c r="C312" s="305"/>
      <c r="D312" s="5548"/>
      <c r="E312" s="5334"/>
      <c r="F312" s="5485" t="str">
        <f>INDEX(PT_DIFFERENTIATION_VTAR,MATCH(A312,PT_DIFFERENTIATION_VTAR_ID,0))</f>
        <v>Тарифы на услуги по передаче тепловой энергии</v>
      </c>
      <c r="G312" s="5522" t="str">
        <f>INDEX(PT_DIFFERENTIATION_NTAR,MATCH(B312,PT_DIFFERENTIATION_NTAR_ID,0))</f>
        <v/>
      </c>
      <c r="H312" s="1786"/>
      <c r="I312" s="1664"/>
      <c r="J312" s="1698"/>
      <c r="K312" s="1703"/>
      <c r="L312" s="1786" t="s">
        <v>333</v>
      </c>
      <c r="M312" s="278"/>
      <c r="N312" s="271"/>
      <c r="O312" s="1550"/>
      <c r="P312" s="1550"/>
      <c r="AH312" s="1557">
        <v>0</v>
      </c>
    </row>
    <row r="313" spans="1:34" s="1561" customFormat="1" ht="18.75" hidden="1" customHeight="1">
      <c r="A313" s="1705"/>
      <c r="B313" s="1705"/>
      <c r="C313" s="305" t="s">
        <v>1187</v>
      </c>
      <c r="D313" s="5548"/>
      <c r="E313" s="5334"/>
      <c r="F313" s="5485"/>
      <c r="G313" s="5522"/>
      <c r="H313" s="1426"/>
      <c r="I313" s="587" t="s">
        <v>1186</v>
      </c>
      <c r="J313" s="507"/>
      <c r="K313" s="1426"/>
      <c r="L313" s="152"/>
      <c r="M313" s="278"/>
      <c r="N313" s="271"/>
      <c r="O313" s="1550"/>
      <c r="P313" s="1550"/>
      <c r="AH313" s="1557">
        <v>0</v>
      </c>
    </row>
    <row r="314" spans="1:34" s="1561" customFormat="1" ht="0.75" hidden="1" customHeight="1">
      <c r="A314" s="1705"/>
      <c r="B314" s="1705"/>
      <c r="C314" s="305" t="s">
        <v>1194</v>
      </c>
      <c r="D314" s="5548"/>
      <c r="E314" s="5334"/>
      <c r="F314" s="5485"/>
      <c r="G314" s="336"/>
      <c r="H314" s="1426"/>
      <c r="I314" s="587"/>
      <c r="J314" s="507"/>
      <c r="K314" s="1426"/>
      <c r="L314" s="152"/>
      <c r="M314" s="278"/>
      <c r="N314" s="271"/>
      <c r="O314" s="1550"/>
      <c r="P314" s="1550"/>
      <c r="AH314" s="1557">
        <v>0</v>
      </c>
    </row>
    <row r="315" spans="1:34" s="1561" customFormat="1" ht="18.75" hidden="1" customHeight="1">
      <c r="A315" s="1705" t="s">
        <v>212</v>
      </c>
      <c r="B315" s="1705" t="s">
        <v>213</v>
      </c>
      <c r="C315" s="305"/>
      <c r="D315" s="5548"/>
      <c r="E315" s="5334"/>
      <c r="F315" s="5485" t="str">
        <f>INDEX(PT_DIFFERENTIATION_VTAR,MATCH(A315,PT_DIFFERENTIATION_VTAR_ID,0))</f>
        <v>Тарифы на услуги по передаче теплоносителя</v>
      </c>
      <c r="G315" s="5522" t="str">
        <f>INDEX(PT_DIFFERENTIATION_NTAR,MATCH(B315,PT_DIFFERENTIATION_NTAR_ID,0))</f>
        <v/>
      </c>
      <c r="H315" s="1786"/>
      <c r="I315" s="1664"/>
      <c r="J315" s="1698"/>
      <c r="K315" s="1703"/>
      <c r="L315" s="1786" t="s">
        <v>333</v>
      </c>
      <c r="M315" s="278"/>
      <c r="N315" s="271"/>
      <c r="O315" s="1550"/>
      <c r="P315" s="1550"/>
      <c r="AH315" s="1557">
        <v>0</v>
      </c>
    </row>
    <row r="316" spans="1:34" s="1561" customFormat="1" ht="18.75" hidden="1" customHeight="1">
      <c r="A316" s="1705"/>
      <c r="B316" s="1705"/>
      <c r="C316" s="305" t="s">
        <v>1187</v>
      </c>
      <c r="D316" s="5548"/>
      <c r="E316" s="5334"/>
      <c r="F316" s="5485"/>
      <c r="G316" s="5522"/>
      <c r="H316" s="1426"/>
      <c r="I316" s="587" t="s">
        <v>1186</v>
      </c>
      <c r="J316" s="507"/>
      <c r="K316" s="1426"/>
      <c r="L316" s="152"/>
      <c r="M316" s="278"/>
      <c r="N316" s="271"/>
      <c r="O316" s="1550"/>
      <c r="P316" s="1550"/>
      <c r="AH316" s="1557">
        <v>0</v>
      </c>
    </row>
    <row r="317" spans="1:34" s="1561" customFormat="1" ht="0.75" hidden="1" customHeight="1">
      <c r="A317" s="1705"/>
      <c r="B317" s="1705"/>
      <c r="C317" s="305" t="s">
        <v>1194</v>
      </c>
      <c r="D317" s="5548"/>
      <c r="E317" s="5334"/>
      <c r="F317" s="5485"/>
      <c r="G317" s="336"/>
      <c r="H317" s="1426"/>
      <c r="I317" s="587"/>
      <c r="J317" s="507"/>
      <c r="K317" s="1426"/>
      <c r="L317" s="152"/>
      <c r="M317" s="278"/>
      <c r="N317" s="271"/>
      <c r="O317" s="1550"/>
      <c r="P317" s="1550"/>
      <c r="AH317" s="1557">
        <v>0</v>
      </c>
    </row>
    <row r="318" spans="1:34" s="1561" customFormat="1" ht="18.75" hidden="1" customHeight="1">
      <c r="A318" s="1705" t="s">
        <v>220</v>
      </c>
      <c r="B318" s="1705" t="s">
        <v>221</v>
      </c>
      <c r="C318" s="305"/>
      <c r="D318" s="5548"/>
      <c r="E318" s="5334"/>
      <c r="F318" s="5485" t="str">
        <f>INDEX(PT_DIFFERENTIATION_VTAR,MATCH(A318,PT_DIFFERENTIATION_VTAR_ID,0))</f>
        <v>Плата за услуги по поддержанию резервной тепловой мощности при отсутствии потребления тепловой энергии</v>
      </c>
      <c r="G318" s="5522" t="str">
        <f>INDEX(PT_DIFFERENTIATION_NTAR,MATCH(B318,PT_DIFFERENTIATION_NTAR_ID,0))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318" s="1786"/>
      <c r="I318" s="1664"/>
      <c r="J318" s="1698"/>
      <c r="K318" s="1703"/>
      <c r="L318" s="1786" t="s">
        <v>333</v>
      </c>
      <c r="M318" s="278"/>
      <c r="N318" s="271"/>
      <c r="O318" s="1550"/>
      <c r="P318" s="1550"/>
      <c r="AH318" s="1557">
        <v>0</v>
      </c>
    </row>
    <row r="319" spans="1:34" s="1561" customFormat="1" ht="18.75" hidden="1" customHeight="1">
      <c r="A319" s="1705"/>
      <c r="B319" s="1705"/>
      <c r="C319" s="305" t="s">
        <v>1187</v>
      </c>
      <c r="D319" s="5548"/>
      <c r="E319" s="5334"/>
      <c r="F319" s="5485"/>
      <c r="G319" s="5522"/>
      <c r="H319" s="1426"/>
      <c r="I319" s="587" t="s">
        <v>1186</v>
      </c>
      <c r="J319" s="507"/>
      <c r="K319" s="1426"/>
      <c r="L319" s="152"/>
      <c r="M319" s="278"/>
      <c r="N319" s="271"/>
      <c r="O319" s="1550"/>
      <c r="P319" s="1550"/>
      <c r="AH319" s="1557">
        <v>0</v>
      </c>
    </row>
    <row r="320" spans="1:34" s="1561" customFormat="1" ht="0.75" hidden="1" customHeight="1">
      <c r="A320" s="1705"/>
      <c r="B320" s="1705"/>
      <c r="C320" s="305" t="s">
        <v>1194</v>
      </c>
      <c r="D320" s="5548"/>
      <c r="E320" s="5334"/>
      <c r="F320" s="5485"/>
      <c r="G320" s="336"/>
      <c r="H320" s="1426"/>
      <c r="I320" s="587"/>
      <c r="J320" s="507"/>
      <c r="K320" s="1426"/>
      <c r="L320" s="152"/>
      <c r="M320" s="278"/>
      <c r="N320" s="271"/>
      <c r="O320" s="1550"/>
      <c r="P320" s="1550"/>
      <c r="AH320" s="1557">
        <v>0</v>
      </c>
    </row>
    <row r="321" spans="1:34" s="1561" customFormat="1" ht="18.75" hidden="1" customHeight="1">
      <c r="A321" s="1705" t="s">
        <v>226</v>
      </c>
      <c r="B321" s="1705" t="s">
        <v>227</v>
      </c>
      <c r="C321" s="305"/>
      <c r="D321" s="5548"/>
      <c r="E321" s="5334"/>
      <c r="F321" s="5485" t="str">
        <f>INDEX(PT_DIFFERENTIATION_VTAR,MATCH(A321,PT_DIFFERENTIATION_VTAR_ID,0))</f>
        <v>Плата за подключение (технологическое присоединение) к системе теплоснабжения</v>
      </c>
      <c r="G321" s="5522" t="str">
        <f>INDEX(PT_DIFFERENTIATION_NTAR,MATCH(B321,PT_DIFFERENTIATION_NTAR_ID,0))</f>
        <v/>
      </c>
      <c r="H321" s="1786"/>
      <c r="I321" s="1664"/>
      <c r="J321" s="1698"/>
      <c r="K321" s="1703"/>
      <c r="L321" s="1786" t="s">
        <v>333</v>
      </c>
      <c r="M321" s="278"/>
      <c r="N321" s="271"/>
      <c r="O321" s="1550"/>
      <c r="P321" s="1550"/>
      <c r="AH321" s="1557">
        <v>0</v>
      </c>
    </row>
    <row r="322" spans="1:34" s="1561" customFormat="1" ht="18.75" hidden="1" customHeight="1">
      <c r="A322" s="1705"/>
      <c r="B322" s="1705"/>
      <c r="C322" s="305" t="s">
        <v>1187</v>
      </c>
      <c r="D322" s="5548"/>
      <c r="E322" s="5334"/>
      <c r="F322" s="5485"/>
      <c r="G322" s="5522"/>
      <c r="H322" s="1426"/>
      <c r="I322" s="587" t="s">
        <v>1186</v>
      </c>
      <c r="J322" s="507"/>
      <c r="K322" s="1426"/>
      <c r="L322" s="152"/>
      <c r="M322" s="278"/>
      <c r="N322" s="271"/>
      <c r="O322" s="1550"/>
      <c r="P322" s="1550"/>
      <c r="AH322" s="1557">
        <v>0</v>
      </c>
    </row>
    <row r="323" spans="1:34" s="1561" customFormat="1" ht="0.75" hidden="1" customHeight="1">
      <c r="A323" s="1705"/>
      <c r="B323" s="1705"/>
      <c r="C323" s="305" t="s">
        <v>1194</v>
      </c>
      <c r="D323" s="5548"/>
      <c r="E323" s="5334"/>
      <c r="F323" s="5485"/>
      <c r="G323" s="336"/>
      <c r="H323" s="1426"/>
      <c r="I323" s="587"/>
      <c r="J323" s="507"/>
      <c r="K323" s="1426"/>
      <c r="L323" s="152"/>
      <c r="M323" s="278"/>
      <c r="N323" s="271"/>
      <c r="O323" s="1550"/>
      <c r="P323" s="1550"/>
      <c r="AH323" s="1557">
        <v>0</v>
      </c>
    </row>
    <row r="324" spans="1:34" s="1561" customFormat="1" ht="18.75" hidden="1" customHeight="1">
      <c r="A324" s="1705" t="s">
        <v>232</v>
      </c>
      <c r="B324" s="1705" t="s">
        <v>233</v>
      </c>
      <c r="C324" s="305"/>
      <c r="D324" s="5548"/>
      <c r="E324" s="5334"/>
      <c r="F324" s="5485" t="str">
        <f>INDEX(PT_DIFFERENTIATION_VTAR,MATCH(A324,PT_DIFFERENTIATION_VTAR_ID,0))</f>
        <v>Плата за подключение (технологическое присоединение) к системе теплоснабжения (индивидуальная)</v>
      </c>
      <c r="G324" s="5522" t="str">
        <f>INDEX(PT_DIFFERENTIATION_NTAR,MATCH(B324,PT_DIFFERENTIATION_NTAR_ID,0))</f>
        <v/>
      </c>
      <c r="H324" s="1910"/>
      <c r="I324" s="1664"/>
      <c r="J324" s="1698"/>
      <c r="K324" s="1703"/>
      <c r="L324" s="1910" t="s">
        <v>333</v>
      </c>
      <c r="M324" s="278"/>
      <c r="N324" s="271"/>
      <c r="O324" s="1550"/>
      <c r="P324" s="1550"/>
      <c r="AH324" s="1557">
        <v>0</v>
      </c>
    </row>
    <row r="325" spans="1:34" s="1561" customFormat="1" ht="18.75" hidden="1" customHeight="1">
      <c r="A325" s="1705"/>
      <c r="B325" s="1705"/>
      <c r="C325" s="305" t="s">
        <v>1187</v>
      </c>
      <c r="D325" s="5548"/>
      <c r="E325" s="5334"/>
      <c r="F325" s="5485"/>
      <c r="G325" s="5522"/>
      <c r="H325" s="1426"/>
      <c r="I325" s="587" t="s">
        <v>1186</v>
      </c>
      <c r="J325" s="507"/>
      <c r="K325" s="1426"/>
      <c r="L325" s="152"/>
      <c r="M325" s="278"/>
      <c r="N325" s="271"/>
      <c r="O325" s="1550"/>
      <c r="P325" s="1550"/>
      <c r="AH325" s="1557">
        <v>0</v>
      </c>
    </row>
    <row r="326" spans="1:34" s="1561" customFormat="1" ht="0.75" hidden="1" customHeight="1">
      <c r="A326" s="1705"/>
      <c r="B326" s="1705"/>
      <c r="C326" s="305" t="s">
        <v>1194</v>
      </c>
      <c r="D326" s="5548"/>
      <c r="E326" s="5334"/>
      <c r="F326" s="5485"/>
      <c r="G326" s="336"/>
      <c r="H326" s="1426"/>
      <c r="I326" s="587"/>
      <c r="J326" s="507"/>
      <c r="K326" s="1426"/>
      <c r="L326" s="152"/>
      <c r="M326" s="278"/>
      <c r="N326" s="271"/>
      <c r="O326" s="1550"/>
      <c r="P326" s="1550"/>
      <c r="AH326" s="1557">
        <v>0</v>
      </c>
    </row>
    <row r="327" spans="1:34" s="1561" customFormat="1" ht="18.75" hidden="1" customHeight="1">
      <c r="A327" s="1705" t="s">
        <v>252</v>
      </c>
      <c r="B327" s="1705" t="s">
        <v>253</v>
      </c>
      <c r="C327" s="305"/>
      <c r="D327" s="5548"/>
      <c r="E327" s="5334"/>
      <c r="F327" s="5485" t="str">
        <f>INDEX(PT_DIFFERENTIATION_VTAR,MATCH(A327,PT_DIFFERENTIATION_VTAR_ID,0))</f>
        <v>Тариф на питьевую воду (питьевое водоснабжение)</v>
      </c>
      <c r="G327" s="5522" t="str">
        <f>INDEX(PT_DIFFERENTIATION_NTAR,MATCH(B327,PT_DIFFERENTIATION_NTAR_ID,0))</f>
        <v/>
      </c>
      <c r="H327" s="1786"/>
      <c r="I327" s="1664"/>
      <c r="J327" s="1698"/>
      <c r="K327" s="1703"/>
      <c r="L327" s="1786" t="s">
        <v>333</v>
      </c>
      <c r="M327" s="278"/>
      <c r="N327" s="271"/>
      <c r="O327" s="1550"/>
      <c r="P327" s="1550"/>
      <c r="AH327" s="1557">
        <v>0</v>
      </c>
    </row>
    <row r="328" spans="1:34" s="1561" customFormat="1" ht="18.75" hidden="1" customHeight="1">
      <c r="A328" s="1705"/>
      <c r="B328" s="1705"/>
      <c r="C328" s="305" t="s">
        <v>1187</v>
      </c>
      <c r="D328" s="5548"/>
      <c r="E328" s="5334"/>
      <c r="F328" s="5485"/>
      <c r="G328" s="5522"/>
      <c r="H328" s="1426"/>
      <c r="I328" s="587" t="s">
        <v>1186</v>
      </c>
      <c r="J328" s="507"/>
      <c r="K328" s="1426"/>
      <c r="L328" s="152"/>
      <c r="M328" s="278"/>
      <c r="N328" s="271"/>
      <c r="O328" s="1550"/>
      <c r="P328" s="1550"/>
      <c r="AH328" s="1557">
        <v>0</v>
      </c>
    </row>
    <row r="329" spans="1:34" s="1561" customFormat="1" ht="0.75" hidden="1" customHeight="1">
      <c r="A329" s="1705"/>
      <c r="B329" s="1705"/>
      <c r="C329" s="305" t="s">
        <v>1194</v>
      </c>
      <c r="D329" s="5548"/>
      <c r="E329" s="5334"/>
      <c r="F329" s="5485"/>
      <c r="G329" s="336"/>
      <c r="H329" s="1426"/>
      <c r="I329" s="587"/>
      <c r="J329" s="507"/>
      <c r="K329" s="1426"/>
      <c r="L329" s="152"/>
      <c r="M329" s="278"/>
      <c r="N329" s="271"/>
      <c r="O329" s="1550"/>
      <c r="P329" s="1550"/>
      <c r="AH329" s="1557">
        <v>0</v>
      </c>
    </row>
    <row r="330" spans="1:34" s="1561" customFormat="1" ht="18.75" hidden="1" customHeight="1">
      <c r="A330" s="1705" t="s">
        <v>257</v>
      </c>
      <c r="B330" s="1705" t="s">
        <v>258</v>
      </c>
      <c r="C330" s="305"/>
      <c r="D330" s="5548"/>
      <c r="E330" s="5334"/>
      <c r="F330" s="5485" t="str">
        <f>INDEX(PT_DIFFERENTIATION_VTAR,MATCH(A330,PT_DIFFERENTIATION_VTAR_ID,0))</f>
        <v>Тариф на техническую воду</v>
      </c>
      <c r="G330" s="5522" t="str">
        <f>INDEX(PT_DIFFERENTIATION_NTAR,MATCH(B330,PT_DIFFERENTIATION_NTAR_ID,0))</f>
        <v/>
      </c>
      <c r="H330" s="1786"/>
      <c r="I330" s="1664"/>
      <c r="J330" s="1698"/>
      <c r="K330" s="1703"/>
      <c r="L330" s="1786" t="s">
        <v>333</v>
      </c>
      <c r="M330" s="278"/>
      <c r="N330" s="271"/>
      <c r="O330" s="1550"/>
      <c r="P330" s="1550"/>
      <c r="AH330" s="1557">
        <v>0</v>
      </c>
    </row>
    <row r="331" spans="1:34" s="1561" customFormat="1" ht="18.75" hidden="1" customHeight="1">
      <c r="A331" s="1705"/>
      <c r="B331" s="1705"/>
      <c r="C331" s="305" t="s">
        <v>1187</v>
      </c>
      <c r="D331" s="5548"/>
      <c r="E331" s="5334"/>
      <c r="F331" s="5485"/>
      <c r="G331" s="5522"/>
      <c r="H331" s="1426"/>
      <c r="I331" s="587" t="s">
        <v>1186</v>
      </c>
      <c r="J331" s="507"/>
      <c r="K331" s="1426"/>
      <c r="L331" s="152"/>
      <c r="M331" s="278"/>
      <c r="N331" s="271"/>
      <c r="O331" s="1550"/>
      <c r="P331" s="1550"/>
      <c r="AH331" s="1557">
        <v>0</v>
      </c>
    </row>
    <row r="332" spans="1:34" s="1561" customFormat="1" ht="0.75" hidden="1" customHeight="1">
      <c r="A332" s="1705"/>
      <c r="B332" s="1705"/>
      <c r="C332" s="305" t="s">
        <v>1194</v>
      </c>
      <c r="D332" s="5548"/>
      <c r="E332" s="5334"/>
      <c r="F332" s="5485"/>
      <c r="G332" s="336"/>
      <c r="H332" s="1426"/>
      <c r="I332" s="587"/>
      <c r="J332" s="507"/>
      <c r="K332" s="1426"/>
      <c r="L332" s="152"/>
      <c r="M332" s="278"/>
      <c r="N332" s="271"/>
      <c r="O332" s="1550"/>
      <c r="P332" s="1550"/>
      <c r="AH332" s="1557">
        <v>0</v>
      </c>
    </row>
    <row r="333" spans="1:34" s="1561" customFormat="1" ht="18.75" hidden="1" customHeight="1">
      <c r="A333" s="1705" t="s">
        <v>262</v>
      </c>
      <c r="B333" s="1705" t="s">
        <v>263</v>
      </c>
      <c r="C333" s="305"/>
      <c r="D333" s="5548"/>
      <c r="E333" s="5334"/>
      <c r="F333" s="5485" t="str">
        <f>INDEX(PT_DIFFERENTIATION_VTAR,MATCH(A333,PT_DIFFERENTIATION_VTAR_ID,0))</f>
        <v>Тариф на транспортировку воды</v>
      </c>
      <c r="G333" s="5522" t="str">
        <f>INDEX(PT_DIFFERENTIATION_NTAR,MATCH(B333,PT_DIFFERENTIATION_NTAR_ID,0))</f>
        <v/>
      </c>
      <c r="H333" s="1786"/>
      <c r="I333" s="1664"/>
      <c r="J333" s="1698"/>
      <c r="K333" s="1703"/>
      <c r="L333" s="1786" t="s">
        <v>333</v>
      </c>
      <c r="M333" s="278"/>
      <c r="N333" s="271"/>
      <c r="O333" s="1550"/>
      <c r="P333" s="1550"/>
      <c r="AH333" s="1557">
        <v>0</v>
      </c>
    </row>
    <row r="334" spans="1:34" s="1561" customFormat="1" ht="18.75" hidden="1" customHeight="1">
      <c r="A334" s="1705"/>
      <c r="B334" s="1705"/>
      <c r="C334" s="305" t="s">
        <v>1187</v>
      </c>
      <c r="D334" s="5548"/>
      <c r="E334" s="5334"/>
      <c r="F334" s="5485"/>
      <c r="G334" s="5522"/>
      <c r="H334" s="1426"/>
      <c r="I334" s="587" t="s">
        <v>1186</v>
      </c>
      <c r="J334" s="507"/>
      <c r="K334" s="1426"/>
      <c r="L334" s="152"/>
      <c r="M334" s="278"/>
      <c r="N334" s="271"/>
      <c r="O334" s="1550"/>
      <c r="P334" s="1550"/>
      <c r="AH334" s="1557">
        <v>0</v>
      </c>
    </row>
    <row r="335" spans="1:34" s="1561" customFormat="1" ht="0.75" hidden="1" customHeight="1">
      <c r="A335" s="1705"/>
      <c r="B335" s="1705"/>
      <c r="C335" s="305" t="s">
        <v>1194</v>
      </c>
      <c r="D335" s="5548"/>
      <c r="E335" s="5334"/>
      <c r="F335" s="5485"/>
      <c r="G335" s="336"/>
      <c r="H335" s="1426"/>
      <c r="I335" s="587"/>
      <c r="J335" s="507"/>
      <c r="K335" s="1426"/>
      <c r="L335" s="152"/>
      <c r="M335" s="278"/>
      <c r="N335" s="271"/>
      <c r="O335" s="1550"/>
      <c r="P335" s="1550"/>
      <c r="AH335" s="1557">
        <v>0</v>
      </c>
    </row>
    <row r="336" spans="1:34" s="1561" customFormat="1" ht="18.75" hidden="1" customHeight="1">
      <c r="A336" s="1705" t="s">
        <v>267</v>
      </c>
      <c r="B336" s="1705" t="s">
        <v>268</v>
      </c>
      <c r="C336" s="305"/>
      <c r="D336" s="5548"/>
      <c r="E336" s="5334"/>
      <c r="F336" s="5485" t="str">
        <f>INDEX(PT_DIFFERENTIATION_VTAR,MATCH(A336,PT_DIFFERENTIATION_VTAR_ID,0))</f>
        <v>Тариф на подвоз воды</v>
      </c>
      <c r="G336" s="5522" t="str">
        <f>INDEX(PT_DIFFERENTIATION_NTAR,MATCH(B336,PT_DIFFERENTIATION_NTAR_ID,0))</f>
        <v/>
      </c>
      <c r="H336" s="1786"/>
      <c r="I336" s="1664"/>
      <c r="J336" s="1698"/>
      <c r="K336" s="1703"/>
      <c r="L336" s="1786" t="s">
        <v>333</v>
      </c>
      <c r="M336" s="278"/>
      <c r="N336" s="271"/>
      <c r="O336" s="1550"/>
      <c r="P336" s="1550"/>
      <c r="AH336" s="1557">
        <v>0</v>
      </c>
    </row>
    <row r="337" spans="1:34" s="1561" customFormat="1" ht="18.75" hidden="1" customHeight="1">
      <c r="A337" s="1705"/>
      <c r="B337" s="1705"/>
      <c r="C337" s="305" t="s">
        <v>1187</v>
      </c>
      <c r="D337" s="5548"/>
      <c r="E337" s="5334"/>
      <c r="F337" s="5485"/>
      <c r="G337" s="5522"/>
      <c r="H337" s="1426"/>
      <c r="I337" s="587" t="s">
        <v>1186</v>
      </c>
      <c r="J337" s="507"/>
      <c r="K337" s="1426"/>
      <c r="L337" s="152"/>
      <c r="M337" s="278"/>
      <c r="N337" s="271"/>
      <c r="O337" s="1550"/>
      <c r="P337" s="1550"/>
      <c r="AH337" s="1557">
        <v>0</v>
      </c>
    </row>
    <row r="338" spans="1:34" s="1561" customFormat="1" ht="0.75" hidden="1" customHeight="1">
      <c r="A338" s="1705"/>
      <c r="B338" s="1705"/>
      <c r="C338" s="305" t="s">
        <v>1194</v>
      </c>
      <c r="D338" s="5548"/>
      <c r="E338" s="5334"/>
      <c r="F338" s="5485"/>
      <c r="G338" s="336"/>
      <c r="H338" s="1426"/>
      <c r="I338" s="587"/>
      <c r="J338" s="507"/>
      <c r="K338" s="1426"/>
      <c r="L338" s="152"/>
      <c r="M338" s="278"/>
      <c r="N338" s="271"/>
      <c r="O338" s="1550"/>
      <c r="P338" s="1550"/>
      <c r="AH338" s="1557">
        <v>0</v>
      </c>
    </row>
    <row r="339" spans="1:34" s="1561" customFormat="1" ht="18.75" hidden="1" customHeight="1">
      <c r="A339" s="1705" t="s">
        <v>272</v>
      </c>
      <c r="B339" s="1705" t="s">
        <v>273</v>
      </c>
      <c r="C339" s="305"/>
      <c r="D339" s="5548"/>
      <c r="E339" s="5334"/>
      <c r="F339" s="5485" t="str">
        <f>INDEX(PT_DIFFERENTIATION_VTAR,MATCH(A339,PT_DIFFERENTIATION_VTAR_ID,0))</f>
        <v>Тариф на подключение (технологическое присоединение) к централизованной системе холодного водоснабжения</v>
      </c>
      <c r="G339" s="5522" t="str">
        <f>INDEX(PT_DIFFERENTIATION_NTAR,MATCH(B339,PT_DIFFERENTIATION_NTAR_ID,0))</f>
        <v/>
      </c>
      <c r="H339" s="1786"/>
      <c r="I339" s="1664"/>
      <c r="J339" s="1698"/>
      <c r="K339" s="1703"/>
      <c r="L339" s="1786" t="s">
        <v>333</v>
      </c>
      <c r="M339" s="278"/>
      <c r="N339" s="271"/>
      <c r="O339" s="1550"/>
      <c r="P339" s="1550"/>
      <c r="AH339" s="1557">
        <v>0</v>
      </c>
    </row>
    <row r="340" spans="1:34" s="1561" customFormat="1" ht="18.75" hidden="1" customHeight="1">
      <c r="A340" s="1705"/>
      <c r="B340" s="1705"/>
      <c r="C340" s="305" t="s">
        <v>1187</v>
      </c>
      <c r="D340" s="5548"/>
      <c r="E340" s="5334"/>
      <c r="F340" s="5485"/>
      <c r="G340" s="5522"/>
      <c r="H340" s="1426"/>
      <c r="I340" s="587" t="s">
        <v>1186</v>
      </c>
      <c r="J340" s="507"/>
      <c r="K340" s="1426"/>
      <c r="L340" s="152"/>
      <c r="M340" s="278"/>
      <c r="N340" s="271"/>
      <c r="O340" s="1550"/>
      <c r="P340" s="1550"/>
      <c r="AH340" s="1557">
        <v>0</v>
      </c>
    </row>
    <row r="341" spans="1:34" s="1561" customFormat="1" ht="0.75" hidden="1" customHeight="1">
      <c r="A341" s="1705"/>
      <c r="B341" s="1705"/>
      <c r="C341" s="305" t="s">
        <v>1194</v>
      </c>
      <c r="D341" s="5548"/>
      <c r="E341" s="5334"/>
      <c r="F341" s="5485"/>
      <c r="G341" s="336"/>
      <c r="H341" s="1426"/>
      <c r="I341" s="587"/>
      <c r="J341" s="507"/>
      <c r="K341" s="1426"/>
      <c r="L341" s="152"/>
      <c r="M341" s="278"/>
      <c r="N341" s="271"/>
      <c r="O341" s="1550"/>
      <c r="P341" s="1550"/>
      <c r="AH341" s="1557">
        <v>0</v>
      </c>
    </row>
    <row r="342" spans="1:34" s="1561" customFormat="1" ht="18.75" hidden="1" customHeight="1">
      <c r="A342" s="1705" t="s">
        <v>277</v>
      </c>
      <c r="B342" s="1705" t="s">
        <v>278</v>
      </c>
      <c r="C342" s="305"/>
      <c r="D342" s="5548"/>
      <c r="E342" s="5334"/>
      <c r="F342" s="5485" t="str">
        <f>INDEX(PT_DIFFERENTIATION_VTAR,MATCH(A342,PT_DIFFERENTIATION_VTAR_ID,0))</f>
        <v>Тариф на горячую воду (горячее водоснабжение)</v>
      </c>
      <c r="G342" s="5522" t="str">
        <f>INDEX(PT_DIFFERENTIATION_NTAR,MATCH(B342,PT_DIFFERENTIATION_NTAR_ID,0))</f>
        <v/>
      </c>
      <c r="H342" s="1786"/>
      <c r="I342" s="1664"/>
      <c r="J342" s="1698"/>
      <c r="K342" s="1703"/>
      <c r="L342" s="1786" t="s">
        <v>333</v>
      </c>
      <c r="M342" s="278"/>
      <c r="N342" s="271"/>
      <c r="O342" s="1550"/>
      <c r="P342" s="1550"/>
      <c r="AH342" s="1557">
        <v>0</v>
      </c>
    </row>
    <row r="343" spans="1:34" s="1561" customFormat="1" ht="18.75" hidden="1" customHeight="1">
      <c r="A343" s="1705"/>
      <c r="B343" s="1705"/>
      <c r="C343" s="305" t="s">
        <v>1187</v>
      </c>
      <c r="D343" s="5548"/>
      <c r="E343" s="5334"/>
      <c r="F343" s="5485"/>
      <c r="G343" s="5522"/>
      <c r="H343" s="1426"/>
      <c r="I343" s="587" t="s">
        <v>1186</v>
      </c>
      <c r="J343" s="507"/>
      <c r="K343" s="1426"/>
      <c r="L343" s="152"/>
      <c r="M343" s="278"/>
      <c r="N343" s="271"/>
      <c r="O343" s="1550"/>
      <c r="P343" s="1550"/>
      <c r="AH343" s="1557">
        <v>0</v>
      </c>
    </row>
    <row r="344" spans="1:34" s="1561" customFormat="1" ht="0.75" hidden="1" customHeight="1">
      <c r="A344" s="1705"/>
      <c r="B344" s="1705"/>
      <c r="C344" s="305" t="s">
        <v>1194</v>
      </c>
      <c r="D344" s="5548"/>
      <c r="E344" s="5334"/>
      <c r="F344" s="5485"/>
      <c r="G344" s="336"/>
      <c r="H344" s="1426"/>
      <c r="I344" s="587"/>
      <c r="J344" s="507"/>
      <c r="K344" s="1426"/>
      <c r="L344" s="152"/>
      <c r="M344" s="278"/>
      <c r="N344" s="271"/>
      <c r="O344" s="1550"/>
      <c r="P344" s="1550"/>
      <c r="AH344" s="1557">
        <v>0</v>
      </c>
    </row>
    <row r="345" spans="1:34" s="1561" customFormat="1" ht="18.75" hidden="1" customHeight="1">
      <c r="A345" s="1705" t="s">
        <v>282</v>
      </c>
      <c r="B345" s="1705" t="s">
        <v>283</v>
      </c>
      <c r="C345" s="305"/>
      <c r="D345" s="5548"/>
      <c r="E345" s="5334"/>
      <c r="F345" s="5485" t="str">
        <f>INDEX(PT_DIFFERENTIATION_VTAR,MATCH(A345,PT_DIFFERENTIATION_VTAR_ID,0))</f>
        <v>Тариф на транспортировку горячей воды</v>
      </c>
      <c r="G345" s="5522" t="str">
        <f>INDEX(PT_DIFFERENTIATION_NTAR,MATCH(B345,PT_DIFFERENTIATION_NTAR_ID,0))</f>
        <v/>
      </c>
      <c r="H345" s="1786"/>
      <c r="I345" s="1664"/>
      <c r="J345" s="1698"/>
      <c r="K345" s="1703"/>
      <c r="L345" s="1786" t="s">
        <v>333</v>
      </c>
      <c r="M345" s="278"/>
      <c r="N345" s="271"/>
      <c r="O345" s="1550"/>
      <c r="P345" s="1550"/>
      <c r="AH345" s="1557">
        <v>0</v>
      </c>
    </row>
    <row r="346" spans="1:34" s="1561" customFormat="1" ht="18.75" hidden="1" customHeight="1">
      <c r="A346" s="1705"/>
      <c r="B346" s="1705"/>
      <c r="C346" s="305" t="s">
        <v>1187</v>
      </c>
      <c r="D346" s="5548"/>
      <c r="E346" s="5334"/>
      <c r="F346" s="5485"/>
      <c r="G346" s="5522"/>
      <c r="H346" s="1426"/>
      <c r="I346" s="587" t="s">
        <v>1186</v>
      </c>
      <c r="J346" s="507"/>
      <c r="K346" s="1426"/>
      <c r="L346" s="152"/>
      <c r="M346" s="278"/>
      <c r="N346" s="271"/>
      <c r="O346" s="1550"/>
      <c r="P346" s="1550"/>
      <c r="AH346" s="1557">
        <v>0</v>
      </c>
    </row>
    <row r="347" spans="1:34" s="1561" customFormat="1" ht="0.75" hidden="1" customHeight="1">
      <c r="A347" s="1705"/>
      <c r="B347" s="1705"/>
      <c r="C347" s="305" t="s">
        <v>1194</v>
      </c>
      <c r="D347" s="5548"/>
      <c r="E347" s="5334"/>
      <c r="F347" s="5485"/>
      <c r="G347" s="336"/>
      <c r="H347" s="1426"/>
      <c r="I347" s="587"/>
      <c r="J347" s="507"/>
      <c r="K347" s="1426"/>
      <c r="L347" s="152"/>
      <c r="M347" s="278"/>
      <c r="N347" s="271"/>
      <c r="O347" s="1550"/>
      <c r="P347" s="1550"/>
      <c r="AH347" s="1557">
        <v>0</v>
      </c>
    </row>
    <row r="348" spans="1:34" s="1561" customFormat="1" ht="18.75" hidden="1" customHeight="1">
      <c r="A348" s="1705" t="s">
        <v>287</v>
      </c>
      <c r="B348" s="1705" t="s">
        <v>288</v>
      </c>
      <c r="C348" s="305"/>
      <c r="D348" s="5548"/>
      <c r="E348" s="5334"/>
      <c r="F348" s="5485" t="str">
        <f>INDEX(PT_DIFFERENTIATION_VTAR,MATCH(A348,PT_DIFFERENTIATION_VTAR_ID,0))</f>
        <v>Тариф на подключение (технологическое присоединение) к централизованной системе горячего водоснабжения</v>
      </c>
      <c r="G348" s="5522" t="str">
        <f>INDEX(PT_DIFFERENTIATION_NTAR,MATCH(B348,PT_DIFFERENTIATION_NTAR_ID,0))</f>
        <v/>
      </c>
      <c r="H348" s="1786"/>
      <c r="I348" s="1664"/>
      <c r="J348" s="1698"/>
      <c r="K348" s="1703"/>
      <c r="L348" s="1786" t="s">
        <v>333</v>
      </c>
      <c r="M348" s="278"/>
      <c r="N348" s="271"/>
      <c r="O348" s="1550"/>
      <c r="P348" s="1550"/>
      <c r="AH348" s="1557">
        <v>0</v>
      </c>
    </row>
    <row r="349" spans="1:34" s="1561" customFormat="1" ht="18.75" hidden="1" customHeight="1">
      <c r="A349" s="1705"/>
      <c r="B349" s="1705"/>
      <c r="C349" s="305" t="s">
        <v>1187</v>
      </c>
      <c r="D349" s="5548"/>
      <c r="E349" s="5334"/>
      <c r="F349" s="5485"/>
      <c r="G349" s="5522"/>
      <c r="H349" s="1426"/>
      <c r="I349" s="587" t="s">
        <v>1186</v>
      </c>
      <c r="J349" s="507"/>
      <c r="K349" s="1426"/>
      <c r="L349" s="152"/>
      <c r="M349" s="278"/>
      <c r="N349" s="271"/>
      <c r="O349" s="1550"/>
      <c r="P349" s="1550"/>
      <c r="AH349" s="1557">
        <v>0</v>
      </c>
    </row>
    <row r="350" spans="1:34" s="1561" customFormat="1" ht="0.75" hidden="1" customHeight="1">
      <c r="A350" s="1705"/>
      <c r="B350" s="1705"/>
      <c r="C350" s="305" t="s">
        <v>1194</v>
      </c>
      <c r="D350" s="5548"/>
      <c r="E350" s="5334"/>
      <c r="F350" s="5485"/>
      <c r="G350" s="336"/>
      <c r="H350" s="1426"/>
      <c r="I350" s="587"/>
      <c r="J350" s="507"/>
      <c r="K350" s="1426"/>
      <c r="L350" s="152"/>
      <c r="M350" s="278"/>
      <c r="N350" s="271"/>
      <c r="O350" s="1550"/>
      <c r="P350" s="1550"/>
      <c r="AH350" s="1557">
        <v>0</v>
      </c>
    </row>
    <row r="351" spans="1:34" s="1561" customFormat="1" ht="18.75" hidden="1" customHeight="1">
      <c r="A351" s="1705" t="s">
        <v>292</v>
      </c>
      <c r="B351" s="1705" t="s">
        <v>293</v>
      </c>
      <c r="C351" s="305"/>
      <c r="D351" s="5548"/>
      <c r="E351" s="5334"/>
      <c r="F351" s="5485" t="str">
        <f>INDEX(PT_DIFFERENTIATION_VTAR,MATCH(A351,PT_DIFFERENTIATION_VTAR_ID,0))</f>
        <v>Тариф на водоотведение</v>
      </c>
      <c r="G351" s="5522" t="str">
        <f>INDEX(PT_DIFFERENTIATION_NTAR,MATCH(B351,PT_DIFFERENTIATION_NTAR_ID,0))</f>
        <v/>
      </c>
      <c r="H351" s="1786"/>
      <c r="I351" s="1664"/>
      <c r="J351" s="1698"/>
      <c r="K351" s="1703"/>
      <c r="L351" s="1786" t="s">
        <v>333</v>
      </c>
      <c r="M351" s="278"/>
      <c r="N351" s="271"/>
      <c r="O351" s="1550"/>
      <c r="P351" s="1550"/>
      <c r="AH351" s="1557">
        <v>0</v>
      </c>
    </row>
    <row r="352" spans="1:34" s="1561" customFormat="1" ht="18.75" hidden="1" customHeight="1">
      <c r="A352" s="1705"/>
      <c r="B352" s="1705"/>
      <c r="C352" s="305" t="s">
        <v>1187</v>
      </c>
      <c r="D352" s="5548"/>
      <c r="E352" s="5334"/>
      <c r="F352" s="5485"/>
      <c r="G352" s="5522"/>
      <c r="H352" s="1426"/>
      <c r="I352" s="587" t="s">
        <v>1186</v>
      </c>
      <c r="J352" s="507"/>
      <c r="K352" s="1426"/>
      <c r="L352" s="152"/>
      <c r="M352" s="278"/>
      <c r="N352" s="271"/>
      <c r="O352" s="1550"/>
      <c r="P352" s="1550"/>
      <c r="AH352" s="1557">
        <v>0</v>
      </c>
    </row>
    <row r="353" spans="1:34" s="1561" customFormat="1" ht="0.75" hidden="1" customHeight="1">
      <c r="A353" s="1705"/>
      <c r="B353" s="1705"/>
      <c r="C353" s="305" t="s">
        <v>1194</v>
      </c>
      <c r="D353" s="5548"/>
      <c r="E353" s="5334"/>
      <c r="F353" s="5485"/>
      <c r="G353" s="336"/>
      <c r="H353" s="1426"/>
      <c r="I353" s="587"/>
      <c r="J353" s="507"/>
      <c r="K353" s="1426"/>
      <c r="L353" s="152"/>
      <c r="M353" s="278"/>
      <c r="N353" s="271"/>
      <c r="O353" s="1550"/>
      <c r="P353" s="1550"/>
      <c r="AH353" s="1557">
        <v>0</v>
      </c>
    </row>
    <row r="354" spans="1:34" s="1561" customFormat="1" ht="18.75" hidden="1" customHeight="1">
      <c r="A354" s="1705" t="s">
        <v>297</v>
      </c>
      <c r="B354" s="1705" t="s">
        <v>298</v>
      </c>
      <c r="C354" s="305"/>
      <c r="D354" s="5548"/>
      <c r="E354" s="5334"/>
      <c r="F354" s="5485" t="str">
        <f>INDEX(PT_DIFFERENTIATION_VTAR,MATCH(A354,PT_DIFFERENTIATION_VTAR_ID,0))</f>
        <v>Тариф на транспортировку сточных вод</v>
      </c>
      <c r="G354" s="5522" t="str">
        <f>INDEX(PT_DIFFERENTIATION_NTAR,MATCH(B354,PT_DIFFERENTIATION_NTAR_ID,0))</f>
        <v/>
      </c>
      <c r="H354" s="1786"/>
      <c r="I354" s="1664"/>
      <c r="J354" s="1698"/>
      <c r="K354" s="1703"/>
      <c r="L354" s="1786" t="s">
        <v>333</v>
      </c>
      <c r="M354" s="278"/>
      <c r="N354" s="271"/>
      <c r="O354" s="1550"/>
      <c r="P354" s="1550"/>
      <c r="AH354" s="1557">
        <v>0</v>
      </c>
    </row>
    <row r="355" spans="1:34" s="1561" customFormat="1" ht="18.75" hidden="1" customHeight="1">
      <c r="A355" s="1705"/>
      <c r="B355" s="1705"/>
      <c r="C355" s="305" t="s">
        <v>1187</v>
      </c>
      <c r="D355" s="5548"/>
      <c r="E355" s="5334"/>
      <c r="F355" s="5485"/>
      <c r="G355" s="5522"/>
      <c r="H355" s="1426"/>
      <c r="I355" s="587" t="s">
        <v>1186</v>
      </c>
      <c r="J355" s="507"/>
      <c r="K355" s="1426"/>
      <c r="L355" s="152"/>
      <c r="M355" s="278"/>
      <c r="N355" s="271"/>
      <c r="O355" s="1550"/>
      <c r="P355" s="1550"/>
      <c r="AH355" s="1557">
        <v>0</v>
      </c>
    </row>
    <row r="356" spans="1:34" s="1561" customFormat="1" ht="0.75" hidden="1" customHeight="1">
      <c r="A356" s="1705"/>
      <c r="B356" s="1705"/>
      <c r="C356" s="305" t="s">
        <v>1194</v>
      </c>
      <c r="D356" s="5548"/>
      <c r="E356" s="5334"/>
      <c r="F356" s="5485"/>
      <c r="G356" s="336"/>
      <c r="H356" s="1426"/>
      <c r="I356" s="587"/>
      <c r="J356" s="507"/>
      <c r="K356" s="1426"/>
      <c r="L356" s="152"/>
      <c r="M356" s="278"/>
      <c r="N356" s="271"/>
      <c r="O356" s="1550"/>
      <c r="P356" s="1550"/>
      <c r="AH356" s="1557">
        <v>0</v>
      </c>
    </row>
    <row r="357" spans="1:34" s="1561" customFormat="1" ht="18.75" hidden="1" customHeight="1">
      <c r="A357" s="1705" t="s">
        <v>302</v>
      </c>
      <c r="B357" s="1705" t="s">
        <v>303</v>
      </c>
      <c r="C357" s="305"/>
      <c r="D357" s="5548"/>
      <c r="E357" s="5334"/>
      <c r="F357" s="5485" t="str">
        <f>INDEX(PT_DIFFERENTIATION_VTAR,MATCH(A357,PT_DIFFERENTIATION_VTAR_ID,0))</f>
        <v>Тариф на подключение (технологическое присоединение) к централизованной системе водоотведения</v>
      </c>
      <c r="G357" s="5522" t="str">
        <f>INDEX(PT_DIFFERENTIATION_NTAR,MATCH(B357,PT_DIFFERENTIATION_NTAR_ID,0))</f>
        <v/>
      </c>
      <c r="H357" s="1786"/>
      <c r="I357" s="1664"/>
      <c r="J357" s="1698"/>
      <c r="K357" s="1703"/>
      <c r="L357" s="1786" t="s">
        <v>333</v>
      </c>
      <c r="M357" s="278"/>
      <c r="N357" s="271"/>
      <c r="O357" s="1550"/>
      <c r="P357" s="1550"/>
      <c r="AH357" s="1557">
        <v>0</v>
      </c>
    </row>
    <row r="358" spans="1:34" s="1561" customFormat="1" ht="18.75" hidden="1" customHeight="1">
      <c r="A358" s="1705"/>
      <c r="B358" s="1705"/>
      <c r="C358" s="305" t="s">
        <v>1187</v>
      </c>
      <c r="D358" s="5548"/>
      <c r="E358" s="5334"/>
      <c r="F358" s="5485"/>
      <c r="G358" s="5522"/>
      <c r="H358" s="1426"/>
      <c r="I358" s="587" t="s">
        <v>1186</v>
      </c>
      <c r="J358" s="507"/>
      <c r="K358" s="1426"/>
      <c r="L358" s="152"/>
      <c r="M358" s="278"/>
      <c r="N358" s="271"/>
      <c r="O358" s="1550"/>
      <c r="P358" s="1550"/>
      <c r="AH358" s="1557">
        <v>0</v>
      </c>
    </row>
    <row r="359" spans="1:34" s="1561" customFormat="1" ht="1.1499999999999999" customHeight="1">
      <c r="A359" s="1705"/>
      <c r="B359" s="1705"/>
      <c r="C359" s="305" t="s">
        <v>1194</v>
      </c>
      <c r="D359" s="5548"/>
      <c r="E359" s="5334"/>
      <c r="F359" s="5485"/>
      <c r="G359" s="336"/>
      <c r="H359" s="1426"/>
      <c r="I359" s="587"/>
      <c r="J359" s="507"/>
      <c r="K359" s="1426"/>
      <c r="L359" s="152"/>
      <c r="M359" s="278"/>
      <c r="N359" s="271"/>
      <c r="O359" s="1550"/>
      <c r="P359" s="1550"/>
      <c r="AH359" s="1557">
        <v>1</v>
      </c>
    </row>
    <row r="360" spans="1:34" s="1747" customFormat="1" ht="3" customHeight="1">
      <c r="A360" s="1705"/>
      <c r="B360" s="1705"/>
      <c r="C360" s="1706"/>
      <c r="E360" s="338"/>
      <c r="F360" s="338"/>
      <c r="G360" s="338"/>
      <c r="H360" s="338"/>
      <c r="I360" s="338"/>
      <c r="J360" s="338"/>
      <c r="K360" s="338"/>
      <c r="L360" s="338"/>
      <c r="M360" s="338"/>
      <c r="O360" s="134"/>
      <c r="P360" s="134"/>
      <c r="AH360" s="79">
        <v>3</v>
      </c>
    </row>
    <row r="361" spans="1:34" ht="26.25" customHeight="1">
      <c r="E361" s="140"/>
      <c r="F361" s="5379"/>
      <c r="G361" s="5379"/>
      <c r="H361" s="5379"/>
      <c r="I361" s="5379"/>
      <c r="J361" s="5379"/>
      <c r="K361" s="5379"/>
      <c r="L361" s="5379"/>
      <c r="M361" s="5379"/>
      <c r="AH361" s="310">
        <v>25</v>
      </c>
    </row>
    <row r="362" spans="1:34" ht="14.25" hidden="1" customHeight="1">
      <c r="A362" s="1704" t="s">
        <v>84</v>
      </c>
      <c r="B362" s="1704">
        <v>0</v>
      </c>
      <c r="C362" s="305">
        <v>0</v>
      </c>
      <c r="D362" s="281">
        <v>3</v>
      </c>
      <c r="E362" s="310">
        <v>6</v>
      </c>
      <c r="F362" s="310">
        <v>46</v>
      </c>
      <c r="G362" s="310">
        <v>35</v>
      </c>
      <c r="H362" s="310">
        <v>3</v>
      </c>
      <c r="I362" s="310">
        <v>11</v>
      </c>
      <c r="J362" s="310">
        <v>11</v>
      </c>
      <c r="K362" s="310">
        <v>35</v>
      </c>
      <c r="L362" s="310">
        <v>35</v>
      </c>
      <c r="M362" s="310">
        <v>84</v>
      </c>
      <c r="N362" s="310">
        <v>10</v>
      </c>
      <c r="O362" s="286">
        <v>10</v>
      </c>
      <c r="P362" s="286">
        <v>10</v>
      </c>
      <c r="Q362" s="310">
        <v>10</v>
      </c>
      <c r="R362" s="310">
        <v>10</v>
      </c>
      <c r="S362" s="310">
        <v>10</v>
      </c>
      <c r="T362" s="310">
        <v>10</v>
      </c>
      <c r="U362" s="310">
        <v>10</v>
      </c>
      <c r="V362" s="310">
        <v>10</v>
      </c>
      <c r="W362" s="310">
        <v>10</v>
      </c>
      <c r="X362" s="310">
        <v>10</v>
      </c>
      <c r="Y362" s="310">
        <v>10</v>
      </c>
      <c r="Z362" s="310">
        <v>10</v>
      </c>
      <c r="AA362" s="310">
        <v>10</v>
      </c>
      <c r="AB362" s="310">
        <v>10</v>
      </c>
      <c r="AC362" s="310">
        <v>10</v>
      </c>
      <c r="AD362" s="310">
        <v>10</v>
      </c>
      <c r="AE362" s="310">
        <v>10</v>
      </c>
      <c r="AF362" s="310">
        <v>10</v>
      </c>
      <c r="AG362" s="310">
        <v>10</v>
      </c>
      <c r="AH362" s="310">
        <v>14</v>
      </c>
    </row>
  </sheetData>
  <sheetProtection formatColumns="0" formatRows="0" insertRows="0" deleteColumns="0" deleteRows="0" sort="0" autoFilter="0"/>
  <mergeCells count="443">
    <mergeCell ref="G95:G96"/>
    <mergeCell ref="G162:G163"/>
    <mergeCell ref="G229:G230"/>
    <mergeCell ref="G296:G297"/>
    <mergeCell ref="G28:G29"/>
    <mergeCell ref="G97:G98"/>
    <mergeCell ref="G164:G165"/>
    <mergeCell ref="G231:G232"/>
    <mergeCell ref="G298:G299"/>
    <mergeCell ref="G30:G31"/>
    <mergeCell ref="G99:G100"/>
    <mergeCell ref="G166:G167"/>
    <mergeCell ref="G233:G234"/>
    <mergeCell ref="G117:G118"/>
    <mergeCell ref="G120:G121"/>
    <mergeCell ref="G126:G127"/>
    <mergeCell ref="G129:G130"/>
    <mergeCell ref="G254:G255"/>
    <mergeCell ref="G260:G261"/>
    <mergeCell ref="G263:G264"/>
    <mergeCell ref="G266:G267"/>
    <mergeCell ref="G217:G218"/>
    <mergeCell ref="G223:G224"/>
    <mergeCell ref="G227:G228"/>
    <mergeCell ref="G236:G237"/>
    <mergeCell ref="G239:G240"/>
    <mergeCell ref="G184:G185"/>
    <mergeCell ref="G187:G188"/>
    <mergeCell ref="G193:G194"/>
    <mergeCell ref="G242:G243"/>
    <mergeCell ref="G245:G246"/>
    <mergeCell ref="G248:G249"/>
    <mergeCell ref="G199:G200"/>
    <mergeCell ref="G202:G203"/>
    <mergeCell ref="G205:G206"/>
    <mergeCell ref="G208:G209"/>
    <mergeCell ref="G181:G182"/>
    <mergeCell ref="G345:G346"/>
    <mergeCell ref="G348:G349"/>
    <mergeCell ref="G351:G352"/>
    <mergeCell ref="G354:G355"/>
    <mergeCell ref="G336:G337"/>
    <mergeCell ref="G339:G340"/>
    <mergeCell ref="G342:G343"/>
    <mergeCell ref="G330:G331"/>
    <mergeCell ref="G281:G282"/>
    <mergeCell ref="G284:G285"/>
    <mergeCell ref="G287:G288"/>
    <mergeCell ref="G290:G291"/>
    <mergeCell ref="G294:G295"/>
    <mergeCell ref="G306:G307"/>
    <mergeCell ref="G309:G310"/>
    <mergeCell ref="G312:G313"/>
    <mergeCell ref="G315:G316"/>
    <mergeCell ref="G318:G319"/>
    <mergeCell ref="G321:G322"/>
    <mergeCell ref="G327:G328"/>
    <mergeCell ref="G324:G325"/>
    <mergeCell ref="G300:G301"/>
    <mergeCell ref="G66:G67"/>
    <mergeCell ref="G69:G70"/>
    <mergeCell ref="G72:G73"/>
    <mergeCell ref="G75:G76"/>
    <mergeCell ref="G78:G79"/>
    <mergeCell ref="G81:G82"/>
    <mergeCell ref="G84:G85"/>
    <mergeCell ref="G87:G88"/>
    <mergeCell ref="G93:G94"/>
    <mergeCell ref="F357:F359"/>
    <mergeCell ref="M294:M303"/>
    <mergeCell ref="D351:D353"/>
    <mergeCell ref="E351:E353"/>
    <mergeCell ref="F351:F353"/>
    <mergeCell ref="D354:D356"/>
    <mergeCell ref="E354:E356"/>
    <mergeCell ref="F354:F356"/>
    <mergeCell ref="D345:D347"/>
    <mergeCell ref="E345:E347"/>
    <mergeCell ref="F345:F347"/>
    <mergeCell ref="D348:D350"/>
    <mergeCell ref="E348:E350"/>
    <mergeCell ref="F348:F350"/>
    <mergeCell ref="D339:D341"/>
    <mergeCell ref="E339:E341"/>
    <mergeCell ref="F339:F341"/>
    <mergeCell ref="D342:D344"/>
    <mergeCell ref="E342:E344"/>
    <mergeCell ref="F342:F344"/>
    <mergeCell ref="D333:D335"/>
    <mergeCell ref="E333:E335"/>
    <mergeCell ref="G357:G358"/>
    <mergeCell ref="G303:G304"/>
    <mergeCell ref="F287:F289"/>
    <mergeCell ref="F309:F311"/>
    <mergeCell ref="D327:D329"/>
    <mergeCell ref="E327:E329"/>
    <mergeCell ref="F327:F329"/>
    <mergeCell ref="D330:D332"/>
    <mergeCell ref="E330:E332"/>
    <mergeCell ref="F330:F332"/>
    <mergeCell ref="D318:D320"/>
    <mergeCell ref="E318:E320"/>
    <mergeCell ref="F318:F320"/>
    <mergeCell ref="D321:D323"/>
    <mergeCell ref="E321:E323"/>
    <mergeCell ref="F321:F323"/>
    <mergeCell ref="D324:D326"/>
    <mergeCell ref="E324:E326"/>
    <mergeCell ref="F324:F326"/>
    <mergeCell ref="D272:D274"/>
    <mergeCell ref="E272:E274"/>
    <mergeCell ref="F272:F274"/>
    <mergeCell ref="G269:G270"/>
    <mergeCell ref="G272:G273"/>
    <mergeCell ref="G275:G276"/>
    <mergeCell ref="D290:D292"/>
    <mergeCell ref="E290:E292"/>
    <mergeCell ref="F290:F292"/>
    <mergeCell ref="D281:D283"/>
    <mergeCell ref="E281:E283"/>
    <mergeCell ref="F281:F283"/>
    <mergeCell ref="D284:D286"/>
    <mergeCell ref="E284:E286"/>
    <mergeCell ref="F284:F286"/>
    <mergeCell ref="D275:D277"/>
    <mergeCell ref="E275:E277"/>
    <mergeCell ref="F275:F277"/>
    <mergeCell ref="D278:D280"/>
    <mergeCell ref="E278:E280"/>
    <mergeCell ref="F278:F280"/>
    <mergeCell ref="G278:G279"/>
    <mergeCell ref="D287:D289"/>
    <mergeCell ref="E287:E289"/>
    <mergeCell ref="D254:D256"/>
    <mergeCell ref="E254:E256"/>
    <mergeCell ref="F254:F256"/>
    <mergeCell ref="D260:D262"/>
    <mergeCell ref="E260:E262"/>
    <mergeCell ref="F260:F262"/>
    <mergeCell ref="D257:D259"/>
    <mergeCell ref="E257:E259"/>
    <mergeCell ref="F257:F259"/>
    <mergeCell ref="D263:D265"/>
    <mergeCell ref="E263:E265"/>
    <mergeCell ref="F263:F265"/>
    <mergeCell ref="G257:G258"/>
    <mergeCell ref="D269:D271"/>
    <mergeCell ref="E269:E271"/>
    <mergeCell ref="F269:F271"/>
    <mergeCell ref="D266:D268"/>
    <mergeCell ref="E266:E268"/>
    <mergeCell ref="F266:F268"/>
    <mergeCell ref="D248:D250"/>
    <mergeCell ref="E248:E250"/>
    <mergeCell ref="F248:F250"/>
    <mergeCell ref="D251:D253"/>
    <mergeCell ref="E251:E253"/>
    <mergeCell ref="F251:F253"/>
    <mergeCell ref="G251:G252"/>
    <mergeCell ref="D236:D238"/>
    <mergeCell ref="E236:E238"/>
    <mergeCell ref="F236:F238"/>
    <mergeCell ref="D242:D244"/>
    <mergeCell ref="E242:E244"/>
    <mergeCell ref="F242:F244"/>
    <mergeCell ref="D245:D247"/>
    <mergeCell ref="E245:E247"/>
    <mergeCell ref="F245:F247"/>
    <mergeCell ref="D211:D213"/>
    <mergeCell ref="E211:E213"/>
    <mergeCell ref="F211:F213"/>
    <mergeCell ref="D214:D216"/>
    <mergeCell ref="E214:E216"/>
    <mergeCell ref="F214:F216"/>
    <mergeCell ref="G211:G212"/>
    <mergeCell ref="G214:G215"/>
    <mergeCell ref="D239:D241"/>
    <mergeCell ref="E239:E241"/>
    <mergeCell ref="F239:F241"/>
    <mergeCell ref="D223:D225"/>
    <mergeCell ref="E223:E225"/>
    <mergeCell ref="F223:F225"/>
    <mergeCell ref="D227:D235"/>
    <mergeCell ref="E227:E235"/>
    <mergeCell ref="F227:F235"/>
    <mergeCell ref="D217:D219"/>
    <mergeCell ref="E217:E219"/>
    <mergeCell ref="F217:F219"/>
    <mergeCell ref="D220:D222"/>
    <mergeCell ref="E220:E222"/>
    <mergeCell ref="F220:F222"/>
    <mergeCell ref="G220:G221"/>
    <mergeCell ref="D193:D195"/>
    <mergeCell ref="E193:E195"/>
    <mergeCell ref="F193:F195"/>
    <mergeCell ref="D196:D198"/>
    <mergeCell ref="E196:E198"/>
    <mergeCell ref="F196:F198"/>
    <mergeCell ref="G196:G197"/>
    <mergeCell ref="D205:D207"/>
    <mergeCell ref="E205:E207"/>
    <mergeCell ref="F205:F207"/>
    <mergeCell ref="D208:D210"/>
    <mergeCell ref="E208:E210"/>
    <mergeCell ref="F208:F210"/>
    <mergeCell ref="D199:D201"/>
    <mergeCell ref="E199:E201"/>
    <mergeCell ref="F199:F201"/>
    <mergeCell ref="D202:D204"/>
    <mergeCell ref="E202:E204"/>
    <mergeCell ref="F202:F204"/>
    <mergeCell ref="F172:F174"/>
    <mergeCell ref="D175:D177"/>
    <mergeCell ref="E175:E177"/>
    <mergeCell ref="F175:F177"/>
    <mergeCell ref="D184:D186"/>
    <mergeCell ref="E184:E186"/>
    <mergeCell ref="F184:F186"/>
    <mergeCell ref="D187:D189"/>
    <mergeCell ref="E187:E189"/>
    <mergeCell ref="F187:F189"/>
    <mergeCell ref="G153:G154"/>
    <mergeCell ref="G156:G157"/>
    <mergeCell ref="G160:G161"/>
    <mergeCell ref="G169:G170"/>
    <mergeCell ref="D178:D180"/>
    <mergeCell ref="E178:E180"/>
    <mergeCell ref="F178:F180"/>
    <mergeCell ref="D181:D183"/>
    <mergeCell ref="E181:E183"/>
    <mergeCell ref="F181:F183"/>
    <mergeCell ref="D172:D174"/>
    <mergeCell ref="D169:D171"/>
    <mergeCell ref="E169:E171"/>
    <mergeCell ref="F169:F171"/>
    <mergeCell ref="D153:D155"/>
    <mergeCell ref="E153:E155"/>
    <mergeCell ref="F153:F155"/>
    <mergeCell ref="D156:D158"/>
    <mergeCell ref="E156:E158"/>
    <mergeCell ref="F156:F158"/>
    <mergeCell ref="D160:D168"/>
    <mergeCell ref="E160:E168"/>
    <mergeCell ref="F160:F168"/>
    <mergeCell ref="E172:E174"/>
    <mergeCell ref="D147:D149"/>
    <mergeCell ref="E147:E149"/>
    <mergeCell ref="F147:F149"/>
    <mergeCell ref="D150:D152"/>
    <mergeCell ref="E150:E152"/>
    <mergeCell ref="F150:F152"/>
    <mergeCell ref="D141:D143"/>
    <mergeCell ref="E141:E143"/>
    <mergeCell ref="F141:F143"/>
    <mergeCell ref="D144:D146"/>
    <mergeCell ref="E144:E146"/>
    <mergeCell ref="F144:F146"/>
    <mergeCell ref="D129:D131"/>
    <mergeCell ref="E129:E131"/>
    <mergeCell ref="F129:F131"/>
    <mergeCell ref="D132:D134"/>
    <mergeCell ref="E132:E134"/>
    <mergeCell ref="F132:F134"/>
    <mergeCell ref="G132:G133"/>
    <mergeCell ref="G135:G136"/>
    <mergeCell ref="G138:G139"/>
    <mergeCell ref="D135:D137"/>
    <mergeCell ref="E135:E137"/>
    <mergeCell ref="F135:F137"/>
    <mergeCell ref="D138:D140"/>
    <mergeCell ref="E138:E140"/>
    <mergeCell ref="F138:F140"/>
    <mergeCell ref="D126:D128"/>
    <mergeCell ref="E126:E128"/>
    <mergeCell ref="F126:F128"/>
    <mergeCell ref="D114:D116"/>
    <mergeCell ref="E114:E116"/>
    <mergeCell ref="F114:F116"/>
    <mergeCell ref="D117:D119"/>
    <mergeCell ref="E117:E119"/>
    <mergeCell ref="F117:F119"/>
    <mergeCell ref="E81:E83"/>
    <mergeCell ref="D84:D86"/>
    <mergeCell ref="E84:E86"/>
    <mergeCell ref="D105:D107"/>
    <mergeCell ref="E105:E107"/>
    <mergeCell ref="D120:D122"/>
    <mergeCell ref="E120:E122"/>
    <mergeCell ref="F120:F122"/>
    <mergeCell ref="F108:F110"/>
    <mergeCell ref="D111:D113"/>
    <mergeCell ref="E111:E113"/>
    <mergeCell ref="F111:F113"/>
    <mergeCell ref="D87:D89"/>
    <mergeCell ref="E87:E89"/>
    <mergeCell ref="F87:F89"/>
    <mergeCell ref="D93:D101"/>
    <mergeCell ref="E93:E101"/>
    <mergeCell ref="F93:F101"/>
    <mergeCell ref="D108:D110"/>
    <mergeCell ref="E108:E110"/>
    <mergeCell ref="F90:L90"/>
    <mergeCell ref="H91:I91"/>
    <mergeCell ref="F92:L92"/>
    <mergeCell ref="G114:G115"/>
    <mergeCell ref="D51:D53"/>
    <mergeCell ref="E51:E53"/>
    <mergeCell ref="F51:F53"/>
    <mergeCell ref="D69:D71"/>
    <mergeCell ref="E69:E71"/>
    <mergeCell ref="F69:F71"/>
    <mergeCell ref="D72:D74"/>
    <mergeCell ref="E72:E74"/>
    <mergeCell ref="F72:F74"/>
    <mergeCell ref="D63:D65"/>
    <mergeCell ref="E63:E65"/>
    <mergeCell ref="F63:F65"/>
    <mergeCell ref="D66:D68"/>
    <mergeCell ref="E66:E68"/>
    <mergeCell ref="F66:F68"/>
    <mergeCell ref="D57:D59"/>
    <mergeCell ref="E57:E59"/>
    <mergeCell ref="D60:D62"/>
    <mergeCell ref="E60:E62"/>
    <mergeCell ref="D54:D56"/>
    <mergeCell ref="G51:G52"/>
    <mergeCell ref="G57:G58"/>
    <mergeCell ref="G60:G61"/>
    <mergeCell ref="G63:G64"/>
    <mergeCell ref="M227:M236"/>
    <mergeCell ref="M93:M102"/>
    <mergeCell ref="F159:L159"/>
    <mergeCell ref="M160:M169"/>
    <mergeCell ref="F226:L226"/>
    <mergeCell ref="F57:F59"/>
    <mergeCell ref="F60:F62"/>
    <mergeCell ref="F81:F83"/>
    <mergeCell ref="F84:F86"/>
    <mergeCell ref="F102:F104"/>
    <mergeCell ref="F105:F107"/>
    <mergeCell ref="M24:M89"/>
    <mergeCell ref="G48:G49"/>
    <mergeCell ref="G141:G142"/>
    <mergeCell ref="G144:G145"/>
    <mergeCell ref="G147:G148"/>
    <mergeCell ref="G150:G151"/>
    <mergeCell ref="G172:G173"/>
    <mergeCell ref="G102:G103"/>
    <mergeCell ref="G105:G106"/>
    <mergeCell ref="F361:M361"/>
    <mergeCell ref="F293:L293"/>
    <mergeCell ref="D294:D302"/>
    <mergeCell ref="E294:E302"/>
    <mergeCell ref="F294:F302"/>
    <mergeCell ref="D303:D305"/>
    <mergeCell ref="E303:E305"/>
    <mergeCell ref="F303:F305"/>
    <mergeCell ref="D306:D308"/>
    <mergeCell ref="D312:D314"/>
    <mergeCell ref="E312:E314"/>
    <mergeCell ref="F312:F314"/>
    <mergeCell ref="D315:D317"/>
    <mergeCell ref="E315:E317"/>
    <mergeCell ref="F315:F317"/>
    <mergeCell ref="E306:E308"/>
    <mergeCell ref="F306:F308"/>
    <mergeCell ref="D309:D311"/>
    <mergeCell ref="E309:E311"/>
    <mergeCell ref="F333:F335"/>
    <mergeCell ref="D336:D338"/>
    <mergeCell ref="E336:E338"/>
    <mergeCell ref="D357:D359"/>
    <mergeCell ref="E357:E359"/>
    <mergeCell ref="F336:F338"/>
    <mergeCell ref="G333:G334"/>
    <mergeCell ref="D48:D50"/>
    <mergeCell ref="E48:E50"/>
    <mergeCell ref="F48:F50"/>
    <mergeCell ref="D33:D35"/>
    <mergeCell ref="E33:E35"/>
    <mergeCell ref="F33:F35"/>
    <mergeCell ref="D36:D38"/>
    <mergeCell ref="E36:E38"/>
    <mergeCell ref="F36:F38"/>
    <mergeCell ref="D39:D41"/>
    <mergeCell ref="E39:E41"/>
    <mergeCell ref="F39:F41"/>
    <mergeCell ref="G33:G34"/>
    <mergeCell ref="G36:G37"/>
    <mergeCell ref="G39:G40"/>
    <mergeCell ref="G42:G43"/>
    <mergeCell ref="G45:G46"/>
    <mergeCell ref="D42:D44"/>
    <mergeCell ref="E42:E44"/>
    <mergeCell ref="F42:F44"/>
    <mergeCell ref="D45:D47"/>
    <mergeCell ref="E45:E47"/>
    <mergeCell ref="F45:F47"/>
    <mergeCell ref="G2:G3"/>
    <mergeCell ref="G5:G6"/>
    <mergeCell ref="E14:L14"/>
    <mergeCell ref="G16:L16"/>
    <mergeCell ref="G17:L17"/>
    <mergeCell ref="E19:L19"/>
    <mergeCell ref="D24:D32"/>
    <mergeCell ref="M19:M21"/>
    <mergeCell ref="E20:E21"/>
    <mergeCell ref="F20:F21"/>
    <mergeCell ref="G20:G21"/>
    <mergeCell ref="H20:J20"/>
    <mergeCell ref="K20:K21"/>
    <mergeCell ref="L20:L21"/>
    <mergeCell ref="H21:I21"/>
    <mergeCell ref="H22:I22"/>
    <mergeCell ref="F23:L23"/>
    <mergeCell ref="G24:G25"/>
    <mergeCell ref="F24:F32"/>
    <mergeCell ref="E24:E32"/>
    <mergeCell ref="G26:G27"/>
    <mergeCell ref="G54:G55"/>
    <mergeCell ref="D123:D125"/>
    <mergeCell ref="E123:E125"/>
    <mergeCell ref="F123:F125"/>
    <mergeCell ref="G123:G124"/>
    <mergeCell ref="D190:D192"/>
    <mergeCell ref="E190:E192"/>
    <mergeCell ref="F190:F192"/>
    <mergeCell ref="G190:G191"/>
    <mergeCell ref="D75:D77"/>
    <mergeCell ref="E75:E77"/>
    <mergeCell ref="F75:F77"/>
    <mergeCell ref="D102:D104"/>
    <mergeCell ref="E102:E104"/>
    <mergeCell ref="D78:D80"/>
    <mergeCell ref="E78:E80"/>
    <mergeCell ref="F78:F80"/>
    <mergeCell ref="G175:G176"/>
    <mergeCell ref="G178:G179"/>
    <mergeCell ref="E54:E56"/>
    <mergeCell ref="F54:F56"/>
    <mergeCell ref="G108:G109"/>
    <mergeCell ref="G111:G112"/>
    <mergeCell ref="D81:D83"/>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5:J45 I24:J24 I33:J33 I36:J36 I39:J39 I42:J42 I48:J48 I51:J51 I57:J57 I60:J60 I63:J63 I66:J66 I69:J69 I72:J72 I75:J75 I78:J78 I81:J81 I84:J84 I227:J227 I236:J236 I239:J239 I242:J242 I245:J245 I248:J248 I251:J251 I254:J254 I260:J260 I263:J263 I266:J266 I269:J269 I272:J272 I275:J275 I278:J278 I281:J281 I284:J284 I8:J8 I87:J87 I156:J156 I102:J102 I105:J105 I108:J108 I111:J111 I114:J114 I117:J117 I120:J120 I126:J126 I129:J129 I132:J132 I135:J135 I138:J138 I141:J141 I144:J144 I147:J147 I150:J150 I153:J153 I160:J160 I93:J93 I169:J169 I172:J172 I175:J175 I178:J178 I181:J181 I184:J184 I187:J187 I193:J193 I196:J196 I199:J199 I202:J202 I205:J205 I211:J211 I214:J214 I217:J217 I220:J220 I223:J223 I208:J208 I287:J287 I290:J290 I294:J294 I303:J303 I306:J306 I309:J309 I312:J312 I315:J315 I318:J318 I321:J321 I327:J327 I330:J330 I333:J333 I336:J336 I339:J339 I342:J342 I345:J345 I348:J348 I351:J351 I354:J354 I357:J357 I2:J2 I5:J5 I54:J54 I123:J123 I190:J190 I257:J257 I324:J324 I26 J26 I95 J95 I162 J162 I229 J229 I296 J296 I28 J28 I97 J97 I164 J164 I231 J231 I298 J298 I30 J30 I99 J99 I166 J166 I233 J233 I300 J3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91">
      <formula1>900</formula1>
    </dataValidation>
    <dataValidation type="textLength" operator="lessThanOrEqual" allowBlank="1" showInputMessage="1" showErrorMessage="1" errorTitle="Ошибка" error="Допускается ввод не более 900 символов!" sqref="M160:M161 M227:M228 M23 M93:M94 M294:M295">
      <formula1>900</formula1>
    </dataValidation>
    <dataValidation type="decimal" allowBlank="1" showErrorMessage="1" errorTitle="Ошибка" error="Допускается ввод только действительных чисел!" sqref="K227 K236 K239 K242 K245 K248 K251 K254 K260 K263 K266 K269 K272 K275 K278 K281 K284 K287 K10 K93 K153 K150 K147 K144 K141 K138 K135 K132 K129 K126 K120 K117 K114 K111 K108 K105 K102 K160 K156 K169 K172 K175 K178 K181 K184 K187 K193 K196 K199 K202 K205 K211 K214 K217 K220 K223 K208 K290 K294 K303 K306 K309 K312 K315 K318 K321 K327 K330 K333 K336 K339 K342 K345 K348 K351 K354 K357 K5 K123 K190 K257 K324 K95 K162 K229 K296 K97 K164 K231 K298 K99 K166 K233 K3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5"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2"/>
      <c r="B2" s="1086"/>
      <c r="C2" s="1655" t="s">
        <v>166</v>
      </c>
      <c r="D2" s="1599"/>
      <c r="E2" s="1608"/>
      <c r="F2" s="194"/>
      <c r="G2" s="1087"/>
      <c r="H2" s="310"/>
      <c r="I2" s="1550"/>
      <c r="J2" s="1550"/>
      <c r="R2" s="1557">
        <v>0</v>
      </c>
    </row>
    <row r="3" spans="1:18" ht="14.25" hidden="1" customHeight="1">
      <c r="R3" s="310">
        <v>0</v>
      </c>
    </row>
    <row r="4" spans="1:18" ht="6.4" customHeight="1">
      <c r="C4" s="312"/>
      <c r="D4" s="299"/>
      <c r="E4" s="299"/>
      <c r="F4" s="299"/>
      <c r="G4" s="25"/>
      <c r="H4" s="25"/>
      <c r="R4" s="310">
        <v>6</v>
      </c>
    </row>
    <row r="5" spans="1:18" ht="34.5" customHeight="1">
      <c r="C5" s="312"/>
      <c r="D5" s="529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5291"/>
      <c r="F5" s="5291"/>
      <c r="G5" s="5292"/>
      <c r="H5" s="203"/>
      <c r="R5" s="310">
        <v>33</v>
      </c>
    </row>
    <row r="6" spans="1:18" s="1561" customFormat="1" ht="18" customHeight="1">
      <c r="A6" s="1595"/>
      <c r="B6" s="1086"/>
      <c r="C6" s="312"/>
      <c r="D6" s="5353" t="str">
        <f>IF(org=0,"Не определено",org)</f>
        <v>ПАО "ТГК-1" филиал "Невский"</v>
      </c>
      <c r="E6" s="5354"/>
      <c r="F6" s="5354"/>
      <c r="G6" s="5355"/>
      <c r="H6" s="203"/>
      <c r="J6" s="1550"/>
      <c r="K6" s="1550"/>
      <c r="R6" s="1557">
        <v>17</v>
      </c>
    </row>
    <row r="7" spans="1:18" ht="14.65" customHeight="1">
      <c r="C7" s="312"/>
      <c r="D7" s="299"/>
      <c r="E7" s="325"/>
      <c r="F7" s="325"/>
      <c r="G7" s="688"/>
      <c r="H7" s="131"/>
      <c r="R7" s="310">
        <v>14</v>
      </c>
    </row>
    <row r="8" spans="1:18" ht="14.65" customHeight="1">
      <c r="C8" s="312"/>
      <c r="D8" s="5339" t="s">
        <v>327</v>
      </c>
      <c r="E8" s="5339"/>
      <c r="F8" s="5339"/>
      <c r="G8" s="5339"/>
      <c r="H8" s="5495" t="s">
        <v>328</v>
      </c>
      <c r="R8" s="310">
        <v>14</v>
      </c>
    </row>
    <row r="9" spans="1:18" ht="24" customHeight="1">
      <c r="C9" s="312"/>
      <c r="D9" s="322" t="s">
        <v>90</v>
      </c>
      <c r="E9" s="48" t="s">
        <v>329</v>
      </c>
      <c r="F9" s="48" t="s">
        <v>330</v>
      </c>
      <c r="G9" s="48" t="s">
        <v>417</v>
      </c>
      <c r="H9" s="5495"/>
      <c r="R9" s="310">
        <v>23</v>
      </c>
    </row>
    <row r="10" spans="1:18" ht="14.65" customHeight="1">
      <c r="A10" s="280"/>
      <c r="C10" s="312"/>
      <c r="D10" s="85" t="s">
        <v>111</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1"/>
      <c r="H10" s="5281" t="s">
        <v>1195</v>
      </c>
      <c r="R10" s="310">
        <v>14</v>
      </c>
    </row>
    <row r="11" spans="1:18" ht="14.65" customHeight="1">
      <c r="A11" s="280"/>
      <c r="C11" s="312"/>
      <c r="D11" s="85" t="s">
        <v>112</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1"/>
      <c r="H11" s="5282"/>
      <c r="R11" s="310">
        <v>14</v>
      </c>
    </row>
    <row r="12" spans="1:18" ht="14.65" customHeight="1">
      <c r="A12" s="42"/>
      <c r="C12" s="323"/>
      <c r="D12" s="85" t="s">
        <v>92</v>
      </c>
      <c r="E12" s="324" t="str">
        <f>"Сведения о планировании закупочных процедур"&amp;IF(TEMPLATE_SPHERE="TKO"," &lt;1&gt;","")</f>
        <v>Сведения о планировании закупочных процедур</v>
      </c>
      <c r="F12" s="194"/>
      <c r="G12" s="151"/>
      <c r="H12" s="528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93</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1"/>
      <c r="H13" s="5282"/>
      <c r="I13" s="286"/>
      <c r="K13" s="310"/>
      <c r="R13" s="310">
        <v>14</v>
      </c>
    </row>
    <row r="14" spans="1:18" ht="14.65" customHeight="1">
      <c r="A14" s="280"/>
      <c r="C14" s="312"/>
      <c r="D14" s="284"/>
      <c r="E14" s="331" t="s">
        <v>349</v>
      </c>
      <c r="F14" s="285"/>
      <c r="G14" s="139"/>
      <c r="H14" s="5283"/>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5379"/>
      <c r="F16" s="5379"/>
      <c r="G16" s="5379"/>
      <c r="H16" s="5379"/>
      <c r="R16" s="310">
        <v>14</v>
      </c>
    </row>
    <row r="17" spans="1:18" ht="22.5" hidden="1" customHeight="1">
      <c r="A17" s="300" t="s">
        <v>84</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58"/>
  <sheetViews>
    <sheetView showGridLines="0" zoomScale="90" workbookViewId="0">
      <pane xSplit="6" ySplit="12" topLeftCell="G13" activePane="bottomRight" state="frozen"/>
      <selection pane="topRight" activeCell="G1" sqref="G1"/>
      <selection pane="bottomLeft" activeCell="A13" sqref="A13"/>
      <selection pane="bottomRight" activeCell="F1" sqref="F1"/>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5" customFormat="1" ht="30.4" customHeight="1">
      <c r="A5" s="92"/>
      <c r="B5" s="92"/>
      <c r="D5" s="529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5291"/>
      <c r="F5" s="5291"/>
      <c r="G5" s="5291"/>
      <c r="H5" s="5291"/>
      <c r="I5" s="5291"/>
      <c r="J5" s="5292"/>
      <c r="K5" s="202"/>
      <c r="L5" s="81"/>
      <c r="M5" s="81"/>
      <c r="N5" s="81"/>
      <c r="O5" s="81"/>
      <c r="P5" s="81"/>
      <c r="Q5" s="81"/>
      <c r="R5" s="81"/>
      <c r="S5" s="227"/>
      <c r="T5" s="227"/>
      <c r="U5" s="227"/>
      <c r="V5" s="227"/>
      <c r="W5" s="81"/>
      <c r="Y5" s="1186"/>
      <c r="Z5" s="1186"/>
      <c r="AA5" s="1186"/>
      <c r="AB5" s="1186"/>
      <c r="AC5" s="1186"/>
      <c r="AD5" s="1186"/>
      <c r="AE5" s="1186"/>
      <c r="AF5" s="1186"/>
      <c r="AG5" s="1186"/>
      <c r="AH5" s="1186"/>
      <c r="AI5" s="1186"/>
      <c r="AJ5" s="1186"/>
      <c r="AK5" s="1186"/>
      <c r="AL5" s="1186"/>
      <c r="AM5" s="1186"/>
      <c r="AN5" s="1186"/>
      <c r="AO5" s="1186"/>
      <c r="AP5" s="1186"/>
      <c r="AQ5" s="1186"/>
      <c r="AR5" s="51">
        <v>29</v>
      </c>
    </row>
    <row r="6" spans="1:44" s="525" customFormat="1" ht="14.65" customHeight="1">
      <c r="A6" s="521"/>
      <c r="B6" s="521"/>
      <c r="C6" s="521"/>
      <c r="D6" s="5296" t="str">
        <f>IF(org=0,"Не определено",org)</f>
        <v>ПАО "ТГК-1" филиал "Невский"</v>
      </c>
      <c r="E6" s="5296"/>
      <c r="F6" s="5296"/>
      <c r="G6" s="5296"/>
      <c r="H6" s="5296"/>
      <c r="I6" s="5296"/>
      <c r="J6" s="5296"/>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9"/>
      <c r="B7" s="149"/>
      <c r="D7" s="5293"/>
      <c r="E7" s="5294"/>
      <c r="F7" s="5294"/>
      <c r="G7" s="5294"/>
      <c r="H7" s="5294"/>
      <c r="I7" s="5294"/>
      <c r="J7" s="5295"/>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6"/>
      <c r="Z8" s="1186"/>
      <c r="AA8" s="1186"/>
      <c r="AB8" s="1186"/>
      <c r="AC8" s="1186"/>
      <c r="AD8" s="1186"/>
      <c r="AE8" s="1186"/>
      <c r="AF8" s="1186"/>
      <c r="AG8" s="1186"/>
      <c r="AH8" s="1186"/>
      <c r="AI8" s="1186"/>
      <c r="AJ8" s="1186"/>
      <c r="AK8" s="1186"/>
      <c r="AL8" s="1186"/>
      <c r="AM8" s="1186"/>
      <c r="AN8" s="1186"/>
      <c r="AO8" s="1186"/>
      <c r="AP8" s="1186"/>
      <c r="AQ8" s="1186"/>
      <c r="AR8" s="51">
        <v>1</v>
      </c>
    </row>
    <row r="9" spans="1:44" ht="28.5" customHeight="1">
      <c r="D9" s="5235" t="s">
        <v>90</v>
      </c>
      <c r="E9" s="5217" t="s">
        <v>124</v>
      </c>
      <c r="F9" s="5216"/>
      <c r="G9" s="5235" t="s">
        <v>107</v>
      </c>
      <c r="H9" s="5235" t="s">
        <v>90</v>
      </c>
      <c r="I9" s="5235"/>
      <c r="J9" s="5235" t="s">
        <v>125</v>
      </c>
      <c r="K9" s="5300" t="s">
        <v>126</v>
      </c>
      <c r="L9" s="5300"/>
      <c r="M9" s="5300"/>
      <c r="N9" s="5300"/>
      <c r="O9" s="5300" t="s">
        <v>127</v>
      </c>
      <c r="P9" s="5300"/>
      <c r="Q9" s="5300"/>
      <c r="R9" s="5300"/>
      <c r="S9" s="5300" t="s">
        <v>128</v>
      </c>
      <c r="T9" s="5300"/>
      <c r="U9" s="5300"/>
      <c r="V9" s="5300"/>
      <c r="W9" s="5235" t="s">
        <v>129</v>
      </c>
      <c r="AR9" s="44">
        <v>27</v>
      </c>
    </row>
    <row r="10" spans="1:44" ht="31.5" customHeight="1">
      <c r="D10" s="5235"/>
      <c r="E10" s="1210" t="s">
        <v>91</v>
      </c>
      <c r="F10" s="1210" t="s">
        <v>130</v>
      </c>
      <c r="G10" s="5235"/>
      <c r="H10" s="5235"/>
      <c r="I10" s="5235"/>
      <c r="J10" s="5235"/>
      <c r="K10" s="50" t="s">
        <v>110</v>
      </c>
      <c r="L10" s="5235" t="s">
        <v>90</v>
      </c>
      <c r="M10" s="5235"/>
      <c r="N10" s="50" t="s">
        <v>131</v>
      </c>
      <c r="O10" s="50" t="s">
        <v>110</v>
      </c>
      <c r="P10" s="5235" t="s">
        <v>90</v>
      </c>
      <c r="Q10" s="5235"/>
      <c r="R10" s="50" t="s">
        <v>131</v>
      </c>
      <c r="S10" s="220" t="s">
        <v>110</v>
      </c>
      <c r="T10" s="5235" t="s">
        <v>90</v>
      </c>
      <c r="U10" s="5235"/>
      <c r="V10" s="220" t="s">
        <v>91</v>
      </c>
      <c r="W10" s="5235"/>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4">
        <v>30</v>
      </c>
    </row>
    <row r="11" spans="1:44" s="1550" customFormat="1" ht="12" hidden="1" customHeight="1">
      <c r="D11" s="1175" t="s">
        <v>111</v>
      </c>
      <c r="E11" s="1175" t="s">
        <v>112</v>
      </c>
      <c r="F11" s="1175"/>
      <c r="G11" s="1175" t="s">
        <v>92</v>
      </c>
      <c r="H11" s="5289" t="s">
        <v>113</v>
      </c>
      <c r="I11" s="5289"/>
      <c r="J11" s="1175" t="s">
        <v>94</v>
      </c>
      <c r="K11" s="1175" t="s">
        <v>95</v>
      </c>
      <c r="L11" s="5289" t="s">
        <v>114</v>
      </c>
      <c r="M11" s="5289"/>
      <c r="N11" s="1175" t="s">
        <v>101</v>
      </c>
      <c r="O11" s="1175" t="s">
        <v>150</v>
      </c>
      <c r="P11" s="5289" t="s">
        <v>151</v>
      </c>
      <c r="Q11" s="5289"/>
      <c r="R11" s="1175" t="s">
        <v>152</v>
      </c>
      <c r="S11" s="1175" t="s">
        <v>151</v>
      </c>
      <c r="T11" s="5289" t="s">
        <v>152</v>
      </c>
      <c r="U11" s="5289"/>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7"/>
      <c r="D12" s="1208">
        <v>0</v>
      </c>
      <c r="E12" s="187"/>
      <c r="F12" s="187"/>
      <c r="G12" s="187"/>
      <c r="H12" s="188"/>
      <c r="I12" s="188"/>
      <c r="J12" s="96"/>
      <c r="K12" s="52"/>
      <c r="L12" s="96"/>
      <c r="M12" s="96"/>
      <c r="N12" s="189"/>
      <c r="O12" s="52"/>
      <c r="P12" s="96"/>
      <c r="Q12" s="96"/>
      <c r="R12" s="190"/>
      <c r="S12" s="221"/>
      <c r="T12" s="229"/>
      <c r="U12" s="229"/>
      <c r="V12" s="233"/>
      <c r="W12" s="52"/>
      <c r="X12" s="80"/>
      <c r="AR12" s="44">
        <v>0</v>
      </c>
    </row>
    <row r="13" spans="1:44" s="1777" customFormat="1" ht="17.25" customHeight="1">
      <c r="A13" s="258"/>
      <c r="C13" s="147"/>
      <c r="D13" s="5268">
        <v>1</v>
      </c>
      <c r="E13" s="5257" t="s">
        <v>155</v>
      </c>
      <c r="F13" s="5270" t="s">
        <v>65</v>
      </c>
      <c r="G13" s="5276" t="str">
        <f>INDEX(VD_NAME_LIST,MATCH("4190066",VD_ID_LIST,0))&amp;"; "&amp;INDEX(VD_NAME_LIST,MATCH("4190070",VD_ID_LIST,0))</f>
        <v>Производство тепловой энергии. Комбинированная выработка с уст. мощностью производства электрической энергии 25 МВт и более; Сбыт. Тепловая энергия</v>
      </c>
      <c r="H13" s="5309"/>
      <c r="I13" s="5309">
        <v>1</v>
      </c>
      <c r="J13" s="5307" t="s">
        <v>156</v>
      </c>
      <c r="K13" s="5303" t="s">
        <v>19</v>
      </c>
      <c r="L13" s="5246"/>
      <c r="M13" s="5246" t="s">
        <v>111</v>
      </c>
      <c r="N13" s="5306" t="s">
        <v>28</v>
      </c>
      <c r="O13" s="5303" t="s">
        <v>19</v>
      </c>
      <c r="P13" s="5246"/>
      <c r="Q13" s="5246" t="s">
        <v>111</v>
      </c>
      <c r="R13" s="5305" t="s">
        <v>28</v>
      </c>
      <c r="S13" s="5245" t="s">
        <v>19</v>
      </c>
      <c r="T13" s="1998"/>
      <c r="U13" s="1998" t="s">
        <v>111</v>
      </c>
      <c r="V13" s="2039" t="s">
        <v>28</v>
      </c>
      <c r="W13" s="2018"/>
      <c r="Y13" s="1193"/>
      <c r="Z13" s="1193"/>
      <c r="AA13" s="1193"/>
      <c r="AB13" s="1193" t="s">
        <v>157</v>
      </c>
      <c r="AC13" s="1193" t="s">
        <v>158</v>
      </c>
      <c r="AD13" s="1193" t="s">
        <v>159</v>
      </c>
      <c r="AE13" s="1193" t="s">
        <v>160</v>
      </c>
      <c r="AF13" s="1193" t="s">
        <v>161</v>
      </c>
      <c r="AG13" s="1193" t="s">
        <v>162</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Производство тепловой энергии. Комбинированная выработка с уст. мощностью производства электрической энергии 25 МВт и более; Сбыт. Тепловая энергия</v>
      </c>
      <c r="AJ13" s="1193" t="str">
        <f>IF($J$13=0,"",$J$13)</f>
        <v>Тариф на тепловую энергию, поставляемую ПАО "ТГК-1" потребителям, расположенным на территории Санкт-Петербурга</v>
      </c>
      <c r="AK13" s="1193" t="str">
        <f>IF($K$13="нет","без дифференциации",IF($N$13=0,"",$N$13))</f>
        <v>без дифференциации</v>
      </c>
      <c r="AL13" s="1193" t="str">
        <f>IF($O$13="нет","без дифференциации",IF($R$13=0,"",$R$13))</f>
        <v>без дифференциации</v>
      </c>
      <c r="AM13" s="1193" t="str">
        <f>IF($S$13="нет","без дифференциации",IF($V$13=0,"",$V$13))</f>
        <v>без дифференциации</v>
      </c>
      <c r="AN13" s="1193">
        <f>$I$13</f>
        <v>1</v>
      </c>
      <c r="AO13" s="1193" t="str">
        <f>$I$13&amp;"."&amp;$M$13</f>
        <v>1.1</v>
      </c>
      <c r="AP13" s="1193" t="str">
        <f>$I$13&amp;"."&amp;$M$13&amp;"."&amp;$Q$13</f>
        <v>1.1.1</v>
      </c>
      <c r="AQ13" s="1193" t="str">
        <f>$I$13&amp;"."&amp;$M$13&amp;"."&amp;$Q$13&amp;"."&amp;$U$13</f>
        <v>1.1.1.1</v>
      </c>
      <c r="AR13" s="686">
        <v>0</v>
      </c>
    </row>
    <row r="14" spans="1:44" s="1777" customFormat="1" ht="17.25" customHeight="1">
      <c r="A14" s="258"/>
      <c r="C14" s="257"/>
      <c r="D14" s="5268"/>
      <c r="E14" s="5257"/>
      <c r="F14" s="5271"/>
      <c r="G14" s="5276"/>
      <c r="H14" s="5309"/>
      <c r="I14" s="5309"/>
      <c r="J14" s="5307"/>
      <c r="K14" s="5304"/>
      <c r="L14" s="5246"/>
      <c r="M14" s="5246"/>
      <c r="N14" s="5306" t="s">
        <v>28</v>
      </c>
      <c r="O14" s="5304"/>
      <c r="P14" s="5246"/>
      <c r="Q14" s="5246"/>
      <c r="R14" s="5305" t="s">
        <v>28</v>
      </c>
      <c r="S14" s="5245"/>
      <c r="T14" s="2040"/>
      <c r="U14" s="2041"/>
      <c r="V14" s="2042" t="s">
        <v>163</v>
      </c>
      <c r="W14" s="2043"/>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customHeight="1">
      <c r="A15" s="258"/>
      <c r="C15" s="147"/>
      <c r="D15" s="5268"/>
      <c r="E15" s="5257"/>
      <c r="F15" s="5271"/>
      <c r="G15" s="5276"/>
      <c r="H15" s="5269"/>
      <c r="I15" s="5269"/>
      <c r="J15" s="5308"/>
      <c r="K15" s="5304"/>
      <c r="L15" s="5269"/>
      <c r="M15" s="5269"/>
      <c r="N15" s="5305" t="s">
        <v>28</v>
      </c>
      <c r="O15" s="5250"/>
      <c r="P15" s="2044"/>
      <c r="Q15" s="2045"/>
      <c r="R15" s="2046" t="s">
        <v>164</v>
      </c>
      <c r="S15" s="2047"/>
      <c r="T15" s="2048"/>
      <c r="U15" s="2049"/>
      <c r="V15" s="2050"/>
      <c r="W15" s="2051"/>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customHeight="1">
      <c r="A16" s="258"/>
      <c r="C16" s="257"/>
      <c r="D16" s="5268"/>
      <c r="E16" s="5257"/>
      <c r="F16" s="5271"/>
      <c r="G16" s="5276"/>
      <c r="H16" s="5269"/>
      <c r="I16" s="5269"/>
      <c r="J16" s="5308"/>
      <c r="K16" s="5250"/>
      <c r="L16" s="2052"/>
      <c r="M16" s="2053"/>
      <c r="N16" s="2054" t="s">
        <v>165</v>
      </c>
      <c r="O16" s="2055"/>
      <c r="P16" s="2056"/>
      <c r="Q16" s="2057"/>
      <c r="R16" s="2058"/>
      <c r="S16" s="2059"/>
      <c r="T16" s="2060"/>
      <c r="U16" s="2061"/>
      <c r="V16" s="2062"/>
      <c r="W16" s="2063"/>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ht="17.25" customHeight="1">
      <c r="A17" s="1764"/>
      <c r="B17" s="1777"/>
      <c r="C17" s="1766"/>
      <c r="D17" s="5297"/>
      <c r="E17" s="5298"/>
      <c r="F17" s="5271"/>
      <c r="G17" s="5299"/>
      <c r="H17" s="5309" t="s">
        <v>166</v>
      </c>
      <c r="I17" s="5309" t="s">
        <v>112</v>
      </c>
      <c r="J17" s="5307" t="s">
        <v>167</v>
      </c>
      <c r="K17" s="5303" t="s">
        <v>19</v>
      </c>
      <c r="L17" s="5246"/>
      <c r="M17" s="5246" t="s">
        <v>111</v>
      </c>
      <c r="N17" s="5306" t="s">
        <v>28</v>
      </c>
      <c r="O17" s="5303" t="s">
        <v>19</v>
      </c>
      <c r="P17" s="5246"/>
      <c r="Q17" s="5246" t="s">
        <v>111</v>
      </c>
      <c r="R17" s="5305" t="s">
        <v>28</v>
      </c>
      <c r="S17" s="5245" t="s">
        <v>19</v>
      </c>
      <c r="T17" s="1736"/>
      <c r="U17" s="1736" t="s">
        <v>111</v>
      </c>
      <c r="V17" s="2064" t="s">
        <v>28</v>
      </c>
      <c r="W17" s="1726"/>
      <c r="Y17" s="1193"/>
      <c r="Z17" s="1193"/>
      <c r="AA17" s="1193"/>
      <c r="AB17" s="1193"/>
      <c r="AC17" s="1895" t="s">
        <v>158</v>
      </c>
      <c r="AD17" s="1193" t="s">
        <v>168</v>
      </c>
      <c r="AE17" s="1193" t="s">
        <v>169</v>
      </c>
      <c r="AF17" s="1193" t="s">
        <v>170</v>
      </c>
      <c r="AG17" s="1193" t="s">
        <v>171</v>
      </c>
      <c r="AH17"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7" s="1193" t="str">
        <f>IF($G$13=0,"",$G$13)</f>
        <v>Производство тепловой энергии. Комбинированная выработка с уст. мощностью производства электрической энергии 25 МВт и более; Сбыт. Тепловая энергия</v>
      </c>
      <c r="AJ17" s="1193" t="str">
        <f>IF($J$17=0,"",$J$17)</f>
        <v>Тариф на тепловую энергию, поставляемую ПАО "ТГК-1" на коллекторах источников тепловой энергии потребителям, расположенным на территории Санкт-Петербурга</v>
      </c>
      <c r="AK17" s="1193" t="str">
        <f>IF($K$17="нет","без дифференциации",IF($N$17=0,"",$N$17))</f>
        <v>без дифференциации</v>
      </c>
      <c r="AL17" s="1768" t="str">
        <f>IF($O$17="нет","без дифференциации",IF($R$17=0,"",$R$17))</f>
        <v>без дифференциации</v>
      </c>
      <c r="AM17" s="1768" t="str">
        <f>IF($S$17="нет","без дифференциации",IF($V$17=0,"",$V$17))</f>
        <v>без дифференциации</v>
      </c>
      <c r="AN17" s="1193" t="str">
        <f>$I$17</f>
        <v>2</v>
      </c>
      <c r="AO17" s="1193" t="str">
        <f>$I$17&amp;"."&amp;$M$17</f>
        <v>2.1</v>
      </c>
      <c r="AP17" s="1193" t="str">
        <f>$I$17&amp;"."&amp;$M$17&amp;"."&amp;$Q$17</f>
        <v>2.1.1</v>
      </c>
      <c r="AQ17" s="1193" t="str">
        <f>$I$17&amp;"."&amp;$M$17&amp;"."&amp;$Q$17&amp;"."&amp;$U$17</f>
        <v>2.1.1.1</v>
      </c>
    </row>
    <row r="18" spans="1:44" ht="17.25" customHeight="1">
      <c r="A18" s="1764"/>
      <c r="B18" s="1777"/>
      <c r="C18" s="1769"/>
      <c r="D18" s="5297"/>
      <c r="E18" s="5298"/>
      <c r="F18" s="5271"/>
      <c r="G18" s="5299"/>
      <c r="H18" s="5309"/>
      <c r="I18" s="5309"/>
      <c r="J18" s="5307"/>
      <c r="K18" s="5304"/>
      <c r="L18" s="5246"/>
      <c r="M18" s="5246"/>
      <c r="N18" s="5306" t="s">
        <v>28</v>
      </c>
      <c r="O18" s="5304"/>
      <c r="P18" s="5246"/>
      <c r="Q18" s="5246"/>
      <c r="R18" s="5305" t="s">
        <v>28</v>
      </c>
      <c r="S18" s="5245"/>
      <c r="T18" s="254"/>
      <c r="U18" s="255"/>
      <c r="V18" s="255" t="s">
        <v>163</v>
      </c>
      <c r="W18" s="256"/>
      <c r="Y18" s="1185"/>
      <c r="Z18" s="1185"/>
      <c r="AA18" s="1185"/>
      <c r="AB18" s="1185"/>
      <c r="AC18" s="1185"/>
      <c r="AD18" s="1185"/>
      <c r="AE18" s="1185"/>
      <c r="AF18" s="1185"/>
      <c r="AG18" s="1185"/>
      <c r="AH18" s="1185"/>
      <c r="AI18" s="1185"/>
      <c r="AJ18" s="1185"/>
      <c r="AK18" s="1185"/>
      <c r="AL18" s="1777"/>
      <c r="AM18" s="1777"/>
      <c r="AN18" s="1777"/>
      <c r="AO18" s="1777"/>
      <c r="AP18" s="1777"/>
      <c r="AQ18" s="1777"/>
    </row>
    <row r="19" spans="1:44" ht="17.25" customHeight="1">
      <c r="A19" s="1764"/>
      <c r="B19" s="1777"/>
      <c r="C19" s="1769"/>
      <c r="D19" s="5297"/>
      <c r="E19" s="5298"/>
      <c r="F19" s="5271"/>
      <c r="G19" s="5299"/>
      <c r="H19" s="5269"/>
      <c r="I19" s="5269"/>
      <c r="J19" s="5308"/>
      <c r="K19" s="5304"/>
      <c r="L19" s="5269"/>
      <c r="M19" s="5269"/>
      <c r="N19" s="5305" t="s">
        <v>28</v>
      </c>
      <c r="O19" s="5250"/>
      <c r="P19" s="254"/>
      <c r="Q19" s="255"/>
      <c r="R19" s="255" t="s">
        <v>164</v>
      </c>
      <c r="S19" s="1770"/>
      <c r="T19" s="1770"/>
      <c r="U19" s="1770"/>
      <c r="V19" s="1770"/>
      <c r="W19" s="256"/>
      <c r="Y19" s="1185"/>
      <c r="Z19" s="1185"/>
      <c r="AA19" s="1185"/>
      <c r="AB19" s="1185"/>
      <c r="AC19" s="1185"/>
      <c r="AD19" s="1185"/>
      <c r="AE19" s="1185"/>
      <c r="AF19" s="1185"/>
      <c r="AG19" s="1185"/>
      <c r="AH19" s="1185"/>
      <c r="AI19" s="1185"/>
      <c r="AJ19" s="1185"/>
      <c r="AK19" s="1185"/>
      <c r="AL19" s="1777"/>
      <c r="AM19" s="1777"/>
      <c r="AN19" s="1777"/>
      <c r="AO19" s="1777"/>
      <c r="AP19" s="1777"/>
      <c r="AQ19" s="1777"/>
    </row>
    <row r="20" spans="1:44" ht="17.25" customHeight="1">
      <c r="A20" s="1764"/>
      <c r="B20" s="1777"/>
      <c r="C20" s="1769"/>
      <c r="D20" s="5297"/>
      <c r="E20" s="5298"/>
      <c r="F20" s="5271"/>
      <c r="G20" s="5299"/>
      <c r="H20" s="5269"/>
      <c r="I20" s="5269"/>
      <c r="J20" s="5308"/>
      <c r="K20" s="5250"/>
      <c r="L20" s="254"/>
      <c r="M20" s="255"/>
      <c r="N20" s="255" t="s">
        <v>165</v>
      </c>
      <c r="O20" s="255"/>
      <c r="P20" s="255"/>
      <c r="Q20" s="255"/>
      <c r="R20" s="255"/>
      <c r="S20" s="1770"/>
      <c r="T20" s="1770"/>
      <c r="U20" s="1770"/>
      <c r="V20" s="1770"/>
      <c r="W20" s="256"/>
      <c r="Y20" s="1185"/>
      <c r="Z20" s="1185"/>
      <c r="AA20" s="1185"/>
      <c r="AB20" s="1185"/>
      <c r="AC20" s="1185"/>
      <c r="AD20" s="1185"/>
      <c r="AE20" s="1185"/>
      <c r="AF20" s="1185"/>
      <c r="AG20" s="1185"/>
      <c r="AH20" s="1185"/>
      <c r="AI20" s="1185"/>
      <c r="AJ20" s="1185"/>
      <c r="AK20" s="1185"/>
      <c r="AL20" s="1777"/>
      <c r="AM20" s="1777"/>
      <c r="AN20" s="1777"/>
      <c r="AO20" s="1777"/>
      <c r="AP20" s="1777"/>
      <c r="AQ20" s="1777"/>
    </row>
    <row r="21" spans="1:44" ht="17.25" customHeight="1">
      <c r="A21" s="1764"/>
      <c r="B21" s="1777"/>
      <c r="C21" s="1766"/>
      <c r="D21" s="5297"/>
      <c r="E21" s="5298"/>
      <c r="F21" s="5271"/>
      <c r="G21" s="5299"/>
      <c r="H21" s="5309" t="s">
        <v>166</v>
      </c>
      <c r="I21" s="5309" t="s">
        <v>92</v>
      </c>
      <c r="J21" s="5307" t="s">
        <v>172</v>
      </c>
      <c r="K21" s="5303" t="s">
        <v>19</v>
      </c>
      <c r="L21" s="5246"/>
      <c r="M21" s="5246" t="s">
        <v>111</v>
      </c>
      <c r="N21" s="5306" t="s">
        <v>28</v>
      </c>
      <c r="O21" s="5303" t="s">
        <v>19</v>
      </c>
      <c r="P21" s="5246"/>
      <c r="Q21" s="5246" t="s">
        <v>111</v>
      </c>
      <c r="R21" s="5305" t="s">
        <v>28</v>
      </c>
      <c r="S21" s="5245" t="s">
        <v>19</v>
      </c>
      <c r="T21" s="1736"/>
      <c r="U21" s="1736" t="s">
        <v>111</v>
      </c>
      <c r="V21" s="2064" t="s">
        <v>28</v>
      </c>
      <c r="W21" s="1726"/>
      <c r="Y21" s="1193"/>
      <c r="Z21" s="1193"/>
      <c r="AA21" s="1193"/>
      <c r="AB21" s="1193"/>
      <c r="AC21" s="1895" t="s">
        <v>158</v>
      </c>
      <c r="AD21" s="1193" t="s">
        <v>173</v>
      </c>
      <c r="AE21" s="1193" t="s">
        <v>174</v>
      </c>
      <c r="AF21" s="1193" t="s">
        <v>175</v>
      </c>
      <c r="AG21" s="1193" t="s">
        <v>176</v>
      </c>
      <c r="AH21"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21" s="1193" t="str">
        <f>IF($G$13=0,"",$G$13)</f>
        <v>Производство тепловой энергии. Комбинированная выработка с уст. мощностью производства электрической энергии 25 МВт и более; Сбыт. Тепловая энергия</v>
      </c>
      <c r="AJ21" s="1193" t="str">
        <f>IF($J$21=0,"",$J$21)</f>
        <v>Тариф на тепловую энергию (мощность), поставляемую ПАО "ТГК-1" теплоснабжающим, теплосетевым организациям, приобретающим тепловую энергию с целью компенсации потерь тепловой энергии</v>
      </c>
      <c r="AK21" s="1193" t="str">
        <f>IF($K$21="нет","без дифференциации",IF($N$21=0,"",$N$21))</f>
        <v>без дифференциации</v>
      </c>
      <c r="AL21" s="1768" t="str">
        <f>IF($O$21="нет","без дифференциации",IF($R$21=0,"",$R$21))</f>
        <v>без дифференциации</v>
      </c>
      <c r="AM21" s="1768" t="str">
        <f>IF($S$21="нет","без дифференциации",IF($V$21=0,"",$V$21))</f>
        <v>без дифференциации</v>
      </c>
      <c r="AN21" s="1193" t="str">
        <f>$I$21</f>
        <v>3</v>
      </c>
      <c r="AO21" s="1193" t="str">
        <f>$I$21&amp;"."&amp;$M$21</f>
        <v>3.1</v>
      </c>
      <c r="AP21" s="1193" t="str">
        <f>$I$21&amp;"."&amp;$M$21&amp;"."&amp;$Q$21</f>
        <v>3.1.1</v>
      </c>
      <c r="AQ21" s="1193" t="str">
        <f>$I$21&amp;"."&amp;$M$21&amp;"."&amp;$Q$21&amp;"."&amp;$U$21</f>
        <v>3.1.1.1</v>
      </c>
    </row>
    <row r="22" spans="1:44" ht="17.25" customHeight="1">
      <c r="A22" s="1764"/>
      <c r="B22" s="1777"/>
      <c r="C22" s="1769"/>
      <c r="D22" s="5297"/>
      <c r="E22" s="5298"/>
      <c r="F22" s="5271"/>
      <c r="G22" s="5299"/>
      <c r="H22" s="5309"/>
      <c r="I22" s="5309"/>
      <c r="J22" s="5307"/>
      <c r="K22" s="5304"/>
      <c r="L22" s="5246"/>
      <c r="M22" s="5246"/>
      <c r="N22" s="5306" t="s">
        <v>28</v>
      </c>
      <c r="O22" s="5304"/>
      <c r="P22" s="5246"/>
      <c r="Q22" s="5246"/>
      <c r="R22" s="5305" t="s">
        <v>28</v>
      </c>
      <c r="S22" s="5245"/>
      <c r="T22" s="254"/>
      <c r="U22" s="255"/>
      <c r="V22" s="255" t="s">
        <v>163</v>
      </c>
      <c r="W22" s="256"/>
      <c r="Y22" s="1185"/>
      <c r="Z22" s="1185"/>
      <c r="AA22" s="1185"/>
      <c r="AB22" s="1185"/>
      <c r="AC22" s="1185"/>
      <c r="AD22" s="1185"/>
      <c r="AE22" s="1185"/>
      <c r="AF22" s="1185"/>
      <c r="AG22" s="1185"/>
      <c r="AH22" s="1185"/>
      <c r="AI22" s="1185"/>
      <c r="AJ22" s="1185"/>
      <c r="AK22" s="1185"/>
      <c r="AL22" s="1777"/>
      <c r="AM22" s="1777"/>
      <c r="AN22" s="1777"/>
      <c r="AO22" s="1777"/>
      <c r="AP22" s="1777"/>
      <c r="AQ22" s="1777"/>
    </row>
    <row r="23" spans="1:44" ht="17.25" customHeight="1">
      <c r="A23" s="1764"/>
      <c r="B23" s="1777"/>
      <c r="C23" s="1769"/>
      <c r="D23" s="5297"/>
      <c r="E23" s="5298"/>
      <c r="F23" s="5271"/>
      <c r="G23" s="5299"/>
      <c r="H23" s="5269"/>
      <c r="I23" s="5269"/>
      <c r="J23" s="5308"/>
      <c r="K23" s="5304"/>
      <c r="L23" s="5269"/>
      <c r="M23" s="5269"/>
      <c r="N23" s="5305" t="s">
        <v>28</v>
      </c>
      <c r="O23" s="5250"/>
      <c r="P23" s="254"/>
      <c r="Q23" s="255"/>
      <c r="R23" s="255" t="s">
        <v>164</v>
      </c>
      <c r="S23" s="1770"/>
      <c r="T23" s="1770"/>
      <c r="U23" s="1770"/>
      <c r="V23" s="1770"/>
      <c r="W23" s="256"/>
      <c r="Y23" s="1185"/>
      <c r="Z23" s="1185"/>
      <c r="AA23" s="1185"/>
      <c r="AB23" s="1185"/>
      <c r="AC23" s="1185"/>
      <c r="AD23" s="1185"/>
      <c r="AE23" s="1185"/>
      <c r="AF23" s="1185"/>
      <c r="AG23" s="1185"/>
      <c r="AH23" s="1185"/>
      <c r="AI23" s="1185"/>
      <c r="AJ23" s="1185"/>
      <c r="AK23" s="1185"/>
      <c r="AL23" s="1777"/>
      <c r="AM23" s="1777"/>
      <c r="AN23" s="1777"/>
      <c r="AO23" s="1777"/>
      <c r="AP23" s="1777"/>
      <c r="AQ23" s="1777"/>
    </row>
    <row r="24" spans="1:44" ht="17.25" customHeight="1">
      <c r="A24" s="1764"/>
      <c r="B24" s="1777"/>
      <c r="C24" s="1769"/>
      <c r="D24" s="5297"/>
      <c r="E24" s="5298"/>
      <c r="F24" s="5271"/>
      <c r="G24" s="5299"/>
      <c r="H24" s="5269"/>
      <c r="I24" s="5269"/>
      <c r="J24" s="5308"/>
      <c r="K24" s="5250"/>
      <c r="L24" s="254"/>
      <c r="M24" s="255"/>
      <c r="N24" s="255" t="s">
        <v>165</v>
      </c>
      <c r="O24" s="255"/>
      <c r="P24" s="255"/>
      <c r="Q24" s="255"/>
      <c r="R24" s="255"/>
      <c r="S24" s="1770"/>
      <c r="T24" s="1770"/>
      <c r="U24" s="1770"/>
      <c r="V24" s="1770"/>
      <c r="W24" s="256"/>
      <c r="Y24" s="1185"/>
      <c r="Z24" s="1185"/>
      <c r="AA24" s="1185"/>
      <c r="AB24" s="1185"/>
      <c r="AC24" s="1185"/>
      <c r="AD24" s="1185"/>
      <c r="AE24" s="1185"/>
      <c r="AF24" s="1185"/>
      <c r="AG24" s="1185"/>
      <c r="AH24" s="1185"/>
      <c r="AI24" s="1185"/>
      <c r="AJ24" s="1185"/>
      <c r="AK24" s="1185"/>
      <c r="AL24" s="1777"/>
      <c r="AM24" s="1777"/>
      <c r="AN24" s="1777"/>
      <c r="AO24" s="1777"/>
      <c r="AP24" s="1777"/>
      <c r="AQ24" s="1777"/>
    </row>
    <row r="25" spans="1:44" ht="17.25" customHeight="1">
      <c r="A25" s="1764"/>
      <c r="B25" s="1777"/>
      <c r="C25" s="1766"/>
      <c r="D25" s="5297"/>
      <c r="E25" s="5298"/>
      <c r="F25" s="5271"/>
      <c r="G25" s="5299"/>
      <c r="H25" s="5309" t="s">
        <v>166</v>
      </c>
      <c r="I25" s="5309" t="s">
        <v>93</v>
      </c>
      <c r="J25" s="5307" t="s">
        <v>177</v>
      </c>
      <c r="K25" s="5303" t="s">
        <v>19</v>
      </c>
      <c r="L25" s="5246"/>
      <c r="M25" s="5246" t="s">
        <v>111</v>
      </c>
      <c r="N25" s="5306" t="s">
        <v>28</v>
      </c>
      <c r="O25" s="5303" t="s">
        <v>19</v>
      </c>
      <c r="P25" s="5246"/>
      <c r="Q25" s="5246" t="s">
        <v>111</v>
      </c>
      <c r="R25" s="5305" t="s">
        <v>28</v>
      </c>
      <c r="S25" s="5245" t="s">
        <v>19</v>
      </c>
      <c r="T25" s="1736"/>
      <c r="U25" s="1736" t="s">
        <v>111</v>
      </c>
      <c r="V25" s="2064" t="s">
        <v>28</v>
      </c>
      <c r="W25" s="1726"/>
      <c r="Y25" s="1193"/>
      <c r="Z25" s="1193"/>
      <c r="AA25" s="1193"/>
      <c r="AB25" s="1193"/>
      <c r="AC25" s="1895" t="s">
        <v>158</v>
      </c>
      <c r="AD25" s="1193" t="s">
        <v>178</v>
      </c>
      <c r="AE25" s="1193" t="s">
        <v>179</v>
      </c>
      <c r="AF25" s="1193" t="s">
        <v>180</v>
      </c>
      <c r="AG25" s="1193" t="s">
        <v>181</v>
      </c>
      <c r="AH25"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25" s="1193" t="str">
        <f>IF($G$13=0,"",$G$13)</f>
        <v>Производство тепловой энергии. Комбинированная выработка с уст. мощностью производства электрической энергии 25 МВт и более; Сбыт. Тепловая энергия</v>
      </c>
      <c r="AJ25" s="1193" t="str">
        <f>IF($J$25=0,"",$J$25)</f>
        <v>Льготные тарифы на тепловую энергию, поставляемую ПАО "ТГК-1" потребителям, расположенным на территории Санкт-Петербурга</v>
      </c>
      <c r="AK25" s="1193" t="str">
        <f>IF($K$25="нет","без дифференциации",IF($N$25=0,"",$N$25))</f>
        <v>без дифференциации</v>
      </c>
      <c r="AL25" s="1768" t="str">
        <f>IF($O$25="нет","без дифференциации",IF($R$25=0,"",$R$25))</f>
        <v>без дифференциации</v>
      </c>
      <c r="AM25" s="1768" t="str">
        <f>IF($S$25="нет","без дифференциации",IF($V$25=0,"",$V$25))</f>
        <v>без дифференциации</v>
      </c>
      <c r="AN25" s="1193" t="str">
        <f>$I$25</f>
        <v>4</v>
      </c>
      <c r="AO25" s="1193" t="str">
        <f>$I$25&amp;"."&amp;$M$25</f>
        <v>4.1</v>
      </c>
      <c r="AP25" s="1193" t="str">
        <f>$I$25&amp;"."&amp;$M$25&amp;"."&amp;$Q$25</f>
        <v>4.1.1</v>
      </c>
      <c r="AQ25" s="1193" t="str">
        <f>$I$25&amp;"."&amp;$M$25&amp;"."&amp;$Q$25&amp;"."&amp;$U$25</f>
        <v>4.1.1.1</v>
      </c>
    </row>
    <row r="26" spans="1:44" ht="17.25" customHeight="1">
      <c r="A26" s="1764"/>
      <c r="B26" s="1777"/>
      <c r="C26" s="1769"/>
      <c r="D26" s="5297"/>
      <c r="E26" s="5298"/>
      <c r="F26" s="5271"/>
      <c r="G26" s="5299"/>
      <c r="H26" s="5309"/>
      <c r="I26" s="5309"/>
      <c r="J26" s="5307"/>
      <c r="K26" s="5304"/>
      <c r="L26" s="5246"/>
      <c r="M26" s="5246"/>
      <c r="N26" s="5306" t="s">
        <v>28</v>
      </c>
      <c r="O26" s="5304"/>
      <c r="P26" s="5246"/>
      <c r="Q26" s="5246"/>
      <c r="R26" s="5305" t="s">
        <v>28</v>
      </c>
      <c r="S26" s="5245"/>
      <c r="T26" s="254"/>
      <c r="U26" s="255"/>
      <c r="V26" s="255" t="s">
        <v>163</v>
      </c>
      <c r="W26" s="256"/>
      <c r="Y26" s="1185"/>
      <c r="Z26" s="1185"/>
      <c r="AA26" s="1185"/>
      <c r="AB26" s="1185"/>
      <c r="AC26" s="1185"/>
      <c r="AD26" s="1185"/>
      <c r="AE26" s="1185"/>
      <c r="AF26" s="1185"/>
      <c r="AG26" s="1185"/>
      <c r="AH26" s="1185"/>
      <c r="AI26" s="1185"/>
      <c r="AJ26" s="1185"/>
      <c r="AK26" s="1185"/>
      <c r="AL26" s="1777"/>
      <c r="AM26" s="1777"/>
      <c r="AN26" s="1777"/>
      <c r="AO26" s="1777"/>
      <c r="AP26" s="1777"/>
      <c r="AQ26" s="1777"/>
    </row>
    <row r="27" spans="1:44" ht="17.25" customHeight="1">
      <c r="A27" s="1764"/>
      <c r="B27" s="1777"/>
      <c r="C27" s="1769"/>
      <c r="D27" s="5297"/>
      <c r="E27" s="5298"/>
      <c r="F27" s="5271"/>
      <c r="G27" s="5299"/>
      <c r="H27" s="5269"/>
      <c r="I27" s="5269"/>
      <c r="J27" s="5308"/>
      <c r="K27" s="5304"/>
      <c r="L27" s="5269"/>
      <c r="M27" s="5269"/>
      <c r="N27" s="5305" t="s">
        <v>28</v>
      </c>
      <c r="O27" s="5250"/>
      <c r="P27" s="254"/>
      <c r="Q27" s="255"/>
      <c r="R27" s="255" t="s">
        <v>164</v>
      </c>
      <c r="S27" s="1770"/>
      <c r="T27" s="1770"/>
      <c r="U27" s="1770"/>
      <c r="V27" s="1770"/>
      <c r="W27" s="256"/>
      <c r="Y27" s="1185"/>
      <c r="Z27" s="1185"/>
      <c r="AA27" s="1185"/>
      <c r="AB27" s="1185"/>
      <c r="AC27" s="1185"/>
      <c r="AD27" s="1185"/>
      <c r="AE27" s="1185"/>
      <c r="AF27" s="1185"/>
      <c r="AG27" s="1185"/>
      <c r="AH27" s="1185"/>
      <c r="AI27" s="1185"/>
      <c r="AJ27" s="1185"/>
      <c r="AK27" s="1185"/>
      <c r="AL27" s="1777"/>
      <c r="AM27" s="1777"/>
      <c r="AN27" s="1777"/>
      <c r="AO27" s="1777"/>
      <c r="AP27" s="1777"/>
      <c r="AQ27" s="1777"/>
    </row>
    <row r="28" spans="1:44" ht="17.25" customHeight="1">
      <c r="A28" s="1764"/>
      <c r="B28" s="1777"/>
      <c r="C28" s="1769"/>
      <c r="D28" s="5297"/>
      <c r="E28" s="5298"/>
      <c r="F28" s="5271"/>
      <c r="G28" s="5299"/>
      <c r="H28" s="5269"/>
      <c r="I28" s="5269"/>
      <c r="J28" s="5308"/>
      <c r="K28" s="5250"/>
      <c r="L28" s="254"/>
      <c r="M28" s="255"/>
      <c r="N28" s="255" t="s">
        <v>165</v>
      </c>
      <c r="O28" s="255"/>
      <c r="P28" s="255"/>
      <c r="Q28" s="255"/>
      <c r="R28" s="255"/>
      <c r="S28" s="1770"/>
      <c r="T28" s="1770"/>
      <c r="U28" s="1770"/>
      <c r="V28" s="1770"/>
      <c r="W28" s="256"/>
      <c r="Y28" s="1185"/>
      <c r="Z28" s="1185"/>
      <c r="AA28" s="1185"/>
      <c r="AB28" s="1185"/>
      <c r="AC28" s="1185"/>
      <c r="AD28" s="1185"/>
      <c r="AE28" s="1185"/>
      <c r="AF28" s="1185"/>
      <c r="AG28" s="1185"/>
      <c r="AH28" s="1185"/>
      <c r="AI28" s="1185"/>
      <c r="AJ28" s="1185"/>
      <c r="AK28" s="1185"/>
      <c r="AL28" s="1777"/>
      <c r="AM28" s="1777"/>
      <c r="AN28" s="1777"/>
      <c r="AO28" s="1777"/>
      <c r="AP28" s="1777"/>
      <c r="AQ28" s="1777"/>
    </row>
    <row r="29" spans="1:44" s="1777" customFormat="1" ht="17.25" customHeight="1">
      <c r="A29" s="258"/>
      <c r="C29" s="257"/>
      <c r="D29" s="5269"/>
      <c r="E29" s="5258"/>
      <c r="F29" s="5272"/>
      <c r="G29" s="5277"/>
      <c r="H29" s="2065"/>
      <c r="I29" s="2066"/>
      <c r="J29" s="2067" t="s">
        <v>182</v>
      </c>
      <c r="K29" s="2068"/>
      <c r="L29" s="2069"/>
      <c r="M29" s="2070"/>
      <c r="N29" s="2071"/>
      <c r="O29" s="2072"/>
      <c r="P29" s="2073"/>
      <c r="Q29" s="2074"/>
      <c r="R29" s="2075"/>
      <c r="S29" s="2076"/>
      <c r="T29" s="2077"/>
      <c r="U29" s="2078"/>
      <c r="V29" s="2079"/>
      <c r="W29" s="2080"/>
      <c r="Y29" s="1185"/>
      <c r="Z29" s="1185"/>
      <c r="AA29" s="1185"/>
      <c r="AB29" s="1185"/>
      <c r="AC29" s="1185"/>
      <c r="AD29" s="1185"/>
      <c r="AE29" s="1185"/>
      <c r="AF29" s="1185"/>
      <c r="AG29" s="1185"/>
      <c r="AH29" s="1185"/>
      <c r="AI29" s="1185"/>
      <c r="AJ29" s="1185"/>
      <c r="AK29" s="1185"/>
      <c r="AL29" s="1185"/>
      <c r="AM29" s="1185"/>
      <c r="AN29" s="1185"/>
      <c r="AO29" s="1185"/>
      <c r="AP29" s="1185"/>
      <c r="AQ29" s="1185"/>
      <c r="AR29" s="686">
        <v>0</v>
      </c>
    </row>
    <row r="30" spans="1:44" s="1777" customFormat="1" ht="17.25" customHeight="1">
      <c r="A30" s="258"/>
      <c r="C30" s="147"/>
      <c r="D30" s="5268">
        <v>2</v>
      </c>
      <c r="E30" s="5287" t="s">
        <v>183</v>
      </c>
      <c r="F30" s="5270" t="s">
        <v>19</v>
      </c>
      <c r="G30" s="5301" t="s">
        <v>28</v>
      </c>
      <c r="H30" s="5259"/>
      <c r="I30" s="5261"/>
      <c r="J30" s="5263"/>
      <c r="K30" s="5255"/>
      <c r="L30" s="5255"/>
      <c r="M30" s="5255"/>
      <c r="N30" s="5266"/>
      <c r="O30" s="5255"/>
      <c r="P30" s="5255"/>
      <c r="Q30" s="5255"/>
      <c r="R30" s="5253"/>
      <c r="S30" s="5255"/>
      <c r="T30" s="2000"/>
      <c r="U30" s="2000"/>
      <c r="V30" s="2020"/>
      <c r="W30" s="1222"/>
      <c r="X30" s="1193"/>
      <c r="Y30" s="1193"/>
      <c r="Z30" s="1193"/>
      <c r="AA30" s="1193"/>
      <c r="AB30" s="1193"/>
      <c r="AC30" s="1193" t="s">
        <v>184</v>
      </c>
      <c r="AD30" s="1193" t="s">
        <v>185</v>
      </c>
      <c r="AE30" s="1193" t="s">
        <v>186</v>
      </c>
      <c r="AF30" s="1193" t="s">
        <v>187</v>
      </c>
      <c r="AG30" s="1193" t="s">
        <v>188</v>
      </c>
      <c r="AH30" s="1193" t="str">
        <f>IF($E$30=0,"",$E$30)</f>
        <v>Тарифы на тепловую энергию (мощность), поставляемую теплоснабжающими организациями потребителям, другим теплоснабжающим организациям</v>
      </c>
      <c r="AI30" s="1193" t="str">
        <f>IF($G$30=0,"",$G$30)</f>
        <v/>
      </c>
      <c r="AJ30" s="1193" t="str">
        <f>IF($J$30=0,"",$J$30)</f>
        <v/>
      </c>
      <c r="AK30" s="1193" t="str">
        <f>IF($K$30="нет","без дифференциации",IF($N$30=0,"",$N$30))</f>
        <v/>
      </c>
      <c r="AL30" s="1193" t="str">
        <f>IF($O$30="нет","без дифференциации",IF($R$30=0,"",$R$30))</f>
        <v/>
      </c>
      <c r="AM30" s="1193" t="str">
        <f>IF($S$30="нет","без дифференциации",IF($V$30=0,"",$V$30))</f>
        <v/>
      </c>
      <c r="AN30" s="1697">
        <f>$I$30</f>
        <v>0</v>
      </c>
      <c r="AO30" s="1193" t="str">
        <f>$I$30&amp;"."&amp;$M$30</f>
        <v>.</v>
      </c>
      <c r="AP30" s="1185" t="str">
        <f>$I$30&amp;"."&amp;$M$30&amp;"."&amp;$Q$30</f>
        <v>..</v>
      </c>
      <c r="AQ30" s="1185" t="str">
        <f>$I$30&amp;"."&amp;$M$30&amp;"."&amp;$Q$30&amp;"."&amp;$U$30</f>
        <v>...</v>
      </c>
      <c r="AR30" s="1209">
        <v>0</v>
      </c>
    </row>
    <row r="31" spans="1:44" s="1777" customFormat="1" ht="17.25" customHeight="1">
      <c r="A31" s="258"/>
      <c r="C31" s="257"/>
      <c r="D31" s="5268"/>
      <c r="E31" s="5287"/>
      <c r="F31" s="5271"/>
      <c r="G31" s="5301" t="s">
        <v>28</v>
      </c>
      <c r="H31" s="5260"/>
      <c r="I31" s="5262"/>
      <c r="J31" s="5264"/>
      <c r="K31" s="5256"/>
      <c r="L31" s="5256"/>
      <c r="M31" s="5256"/>
      <c r="N31" s="5267"/>
      <c r="O31" s="5256"/>
      <c r="P31" s="5256"/>
      <c r="Q31" s="5256"/>
      <c r="R31" s="5254"/>
      <c r="S31" s="5256"/>
      <c r="T31" s="2002"/>
      <c r="U31" s="2002"/>
      <c r="V31" s="2002"/>
      <c r="W31" s="2003"/>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customHeight="1">
      <c r="A32" s="258"/>
      <c r="C32" s="257"/>
      <c r="D32" s="5269"/>
      <c r="E32" s="5288"/>
      <c r="F32" s="5271"/>
      <c r="G32" s="5302" t="s">
        <v>28</v>
      </c>
      <c r="H32" s="5260"/>
      <c r="I32" s="5262"/>
      <c r="J32" s="5265"/>
      <c r="K32" s="5256"/>
      <c r="L32" s="5256"/>
      <c r="M32" s="5256"/>
      <c r="N32" s="5254"/>
      <c r="O32" s="5256"/>
      <c r="P32" s="2001"/>
      <c r="Q32" s="2002"/>
      <c r="R32" s="2002"/>
      <c r="W32" s="2003"/>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customHeight="1">
      <c r="A33" s="258"/>
      <c r="C33" s="257"/>
      <c r="D33" s="5269"/>
      <c r="E33" s="5288"/>
      <c r="F33" s="5271"/>
      <c r="G33" s="5302" t="s">
        <v>28</v>
      </c>
      <c r="H33" s="5260"/>
      <c r="I33" s="5262"/>
      <c r="J33" s="5265"/>
      <c r="K33" s="5256"/>
      <c r="L33" s="2002"/>
      <c r="M33" s="2002"/>
      <c r="N33" s="2002"/>
      <c r="O33" s="2002"/>
      <c r="P33" s="2002"/>
      <c r="Q33" s="2002"/>
      <c r="R33" s="2002"/>
      <c r="W33" s="2003"/>
      <c r="X33" s="1185"/>
      <c r="Y33" s="1185"/>
      <c r="Z33" s="1185"/>
      <c r="AA33" s="1185"/>
      <c r="AB33" s="1185"/>
      <c r="AC33" s="1185"/>
      <c r="AD33" s="1185"/>
      <c r="AE33" s="1185"/>
      <c r="AF33" s="1185"/>
      <c r="AG33" s="1185"/>
      <c r="AH33" s="1185"/>
      <c r="AI33" s="1185"/>
      <c r="AJ33" s="1185"/>
      <c r="AK33" s="1185"/>
      <c r="AL33" s="1185"/>
      <c r="AM33" s="1185"/>
      <c r="AN33" s="1185"/>
      <c r="AO33" s="1185"/>
      <c r="AP33" s="1185"/>
      <c r="AQ33" s="1185"/>
      <c r="AR33" s="1209">
        <v>0</v>
      </c>
    </row>
    <row r="34" spans="1:44" s="1777" customFormat="1" ht="17.25" customHeight="1">
      <c r="A34" s="258"/>
      <c r="C34" s="257"/>
      <c r="D34" s="5269"/>
      <c r="E34" s="5288"/>
      <c r="F34" s="5272"/>
      <c r="G34" s="5302" t="s">
        <v>28</v>
      </c>
      <c r="H34" s="1225"/>
      <c r="I34" s="2005"/>
      <c r="J34" s="2005"/>
      <c r="K34" s="2005"/>
      <c r="L34" s="2005"/>
      <c r="M34" s="2005"/>
      <c r="N34" s="2005"/>
      <c r="O34" s="2005"/>
      <c r="P34" s="2005"/>
      <c r="Q34" s="2005"/>
      <c r="R34" s="2005"/>
      <c r="S34" s="1778"/>
      <c r="T34" s="1778"/>
      <c r="U34" s="1778"/>
      <c r="V34" s="1778"/>
      <c r="W34" s="2006"/>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hidden="1" customHeight="1">
      <c r="A35" s="258"/>
      <c r="C35" s="147"/>
      <c r="D35" s="5268">
        <v>2</v>
      </c>
      <c r="E35" s="5257" t="s">
        <v>183</v>
      </c>
      <c r="F35" s="5270" t="s">
        <v>19</v>
      </c>
      <c r="G35" s="5257"/>
      <c r="H35" s="5259"/>
      <c r="I35" s="5261"/>
      <c r="J35" s="5263"/>
      <c r="K35" s="5255"/>
      <c r="L35" s="5255"/>
      <c r="M35" s="5255"/>
      <c r="N35" s="5266"/>
      <c r="O35" s="5255"/>
      <c r="P35" s="5255"/>
      <c r="Q35" s="5255"/>
      <c r="R35" s="5253"/>
      <c r="S35" s="5255"/>
      <c r="T35" s="1919"/>
      <c r="U35" s="1919"/>
      <c r="V35" s="1921"/>
      <c r="W35" s="1222"/>
      <c r="X35" s="1193"/>
      <c r="Y35" s="1193"/>
      <c r="Z35" s="1193" t="s">
        <v>28</v>
      </c>
      <c r="AA35" s="1193" t="s">
        <v>28</v>
      </c>
      <c r="AB35" s="1193" t="s">
        <v>28</v>
      </c>
      <c r="AC35" s="1193" t="s">
        <v>28</v>
      </c>
      <c r="AD35" s="1193" t="s">
        <v>28</v>
      </c>
      <c r="AE35" s="1193" t="s">
        <v>28</v>
      </c>
      <c r="AF35" s="1193" t="s">
        <v>28</v>
      </c>
      <c r="AG35" s="1193" t="s">
        <v>28</v>
      </c>
      <c r="AH35" s="1193" t="s">
        <v>28</v>
      </c>
      <c r="AI35" s="1193" t="s">
        <v>28</v>
      </c>
      <c r="AJ35" s="1193" t="s">
        <v>28</v>
      </c>
      <c r="AK35" s="1193" t="s">
        <v>28</v>
      </c>
      <c r="AL35" s="1193" t="s">
        <v>28</v>
      </c>
      <c r="AM35" s="1193" t="s">
        <v>28</v>
      </c>
      <c r="AN35" s="1697" t="s">
        <v>28</v>
      </c>
      <c r="AO35" s="1193" t="s">
        <v>28</v>
      </c>
      <c r="AP35" s="1192" t="s">
        <v>28</v>
      </c>
      <c r="AQ35" s="1192" t="s">
        <v>28</v>
      </c>
      <c r="AR35" s="1393">
        <v>0</v>
      </c>
    </row>
    <row r="36" spans="1:44" s="1777" customFormat="1" ht="17.25" hidden="1" customHeight="1">
      <c r="A36" s="258"/>
      <c r="C36" s="257"/>
      <c r="D36" s="5268"/>
      <c r="E36" s="5257"/>
      <c r="F36" s="5271"/>
      <c r="G36" s="5257"/>
      <c r="H36" s="5260"/>
      <c r="I36" s="5262"/>
      <c r="J36" s="5264"/>
      <c r="K36" s="5256"/>
      <c r="L36" s="5256"/>
      <c r="M36" s="5256"/>
      <c r="N36" s="5267"/>
      <c r="O36" s="5256"/>
      <c r="P36" s="5256"/>
      <c r="Q36" s="5256"/>
      <c r="R36" s="5254"/>
      <c r="S36" s="5256"/>
      <c r="T36" s="1924"/>
      <c r="U36" s="1924"/>
      <c r="V36" s="1924"/>
      <c r="W36" s="1925"/>
      <c r="X36" s="1192"/>
      <c r="Y36" s="1192"/>
      <c r="Z36" s="1192"/>
      <c r="AA36" s="1192"/>
      <c r="AB36" s="1192"/>
      <c r="AC36" s="1192"/>
      <c r="AD36" s="1192"/>
      <c r="AE36" s="1192"/>
      <c r="AF36" s="1192"/>
      <c r="AG36" s="1192"/>
      <c r="AH36" s="1192"/>
      <c r="AI36" s="1192"/>
      <c r="AJ36" s="1192"/>
      <c r="AK36" s="1192"/>
      <c r="AL36" s="1192"/>
      <c r="AM36" s="1192"/>
      <c r="AN36" s="1192"/>
      <c r="AO36" s="1192"/>
      <c r="AP36" s="1192"/>
      <c r="AQ36" s="1192"/>
      <c r="AR36" s="1393">
        <v>0</v>
      </c>
    </row>
    <row r="37" spans="1:44" s="1777" customFormat="1" ht="17.25" hidden="1" customHeight="1">
      <c r="A37" s="258"/>
      <c r="C37" s="257"/>
      <c r="D37" s="5269"/>
      <c r="E37" s="5258"/>
      <c r="F37" s="5271"/>
      <c r="G37" s="5258"/>
      <c r="H37" s="5260"/>
      <c r="I37" s="5262"/>
      <c r="J37" s="5265"/>
      <c r="K37" s="5256"/>
      <c r="L37" s="5256"/>
      <c r="M37" s="5256"/>
      <c r="N37" s="5254"/>
      <c r="O37" s="5256"/>
      <c r="P37" s="1920"/>
      <c r="Q37" s="1924"/>
      <c r="R37" s="1924"/>
      <c r="S37" s="266"/>
      <c r="T37" s="266"/>
      <c r="U37" s="266"/>
      <c r="V37" s="266"/>
      <c r="W37" s="1925"/>
      <c r="X37" s="1192"/>
      <c r="Y37" s="1192"/>
      <c r="Z37" s="1192"/>
      <c r="AA37" s="1192"/>
      <c r="AB37" s="1192"/>
      <c r="AC37" s="1192"/>
      <c r="AD37" s="1192"/>
      <c r="AE37" s="1192"/>
      <c r="AF37" s="1192"/>
      <c r="AG37" s="1192"/>
      <c r="AH37" s="1192"/>
      <c r="AI37" s="1192"/>
      <c r="AJ37" s="1192"/>
      <c r="AK37" s="1192"/>
      <c r="AL37" s="1192"/>
      <c r="AM37" s="1192"/>
      <c r="AN37" s="1192"/>
      <c r="AO37" s="1192"/>
      <c r="AP37" s="1192"/>
      <c r="AQ37" s="1192"/>
      <c r="AR37" s="1393">
        <v>0</v>
      </c>
    </row>
    <row r="38" spans="1:44" s="1777" customFormat="1" ht="17.25" hidden="1" customHeight="1">
      <c r="A38" s="258"/>
      <c r="C38" s="257"/>
      <c r="D38" s="5269"/>
      <c r="E38" s="5258"/>
      <c r="F38" s="5271"/>
      <c r="G38" s="5258"/>
      <c r="H38" s="5260"/>
      <c r="I38" s="5262"/>
      <c r="J38" s="5265"/>
      <c r="K38" s="5256"/>
      <c r="L38" s="1924"/>
      <c r="M38" s="1924"/>
      <c r="N38" s="1924"/>
      <c r="O38" s="1924"/>
      <c r="P38" s="1924"/>
      <c r="Q38" s="1924"/>
      <c r="R38" s="1924"/>
      <c r="S38" s="266"/>
      <c r="T38" s="266"/>
      <c r="U38" s="266"/>
      <c r="V38" s="266"/>
      <c r="W38" s="1925"/>
      <c r="X38" s="1192"/>
      <c r="Y38" s="1192"/>
      <c r="Z38" s="1192"/>
      <c r="AA38" s="1192"/>
      <c r="AB38" s="1192"/>
      <c r="AC38" s="1192"/>
      <c r="AD38" s="1192"/>
      <c r="AE38" s="1192"/>
      <c r="AF38" s="1192"/>
      <c r="AG38" s="1192"/>
      <c r="AH38" s="1192"/>
      <c r="AI38" s="1192"/>
      <c r="AJ38" s="1192"/>
      <c r="AK38" s="1192"/>
      <c r="AL38" s="1192"/>
      <c r="AM38" s="1192"/>
      <c r="AN38" s="1192"/>
      <c r="AO38" s="1192"/>
      <c r="AP38" s="1192"/>
      <c r="AQ38" s="1192"/>
      <c r="AR38" s="1393">
        <v>0</v>
      </c>
    </row>
    <row r="39" spans="1:44" s="1777" customFormat="1" ht="17.25" hidden="1" customHeight="1">
      <c r="A39" s="258"/>
      <c r="C39" s="257"/>
      <c r="D39" s="5269"/>
      <c r="E39" s="5258"/>
      <c r="F39" s="5272"/>
      <c r="G39" s="5258"/>
      <c r="H39" s="1225"/>
      <c r="I39" s="1922"/>
      <c r="J39" s="1922"/>
      <c r="K39" s="1922"/>
      <c r="L39" s="1922"/>
      <c r="M39" s="1922"/>
      <c r="N39" s="1922"/>
      <c r="O39" s="1922"/>
      <c r="P39" s="1922"/>
      <c r="Q39" s="1922"/>
      <c r="R39" s="1922"/>
      <c r="S39" s="1227"/>
      <c r="T39" s="1227"/>
      <c r="U39" s="1227"/>
      <c r="V39" s="1227"/>
      <c r="W39" s="1923"/>
      <c r="X39" s="1192"/>
      <c r="Y39" s="1192"/>
      <c r="Z39" s="1192"/>
      <c r="AA39" s="1192"/>
      <c r="AB39" s="1192"/>
      <c r="AC39" s="1192"/>
      <c r="AD39" s="1192"/>
      <c r="AE39" s="1192"/>
      <c r="AF39" s="1192"/>
      <c r="AG39" s="1192"/>
      <c r="AH39" s="1192"/>
      <c r="AI39" s="1192"/>
      <c r="AJ39" s="1192"/>
      <c r="AK39" s="1192"/>
      <c r="AL39" s="1192"/>
      <c r="AM39" s="1192"/>
      <c r="AN39" s="1192"/>
      <c r="AO39" s="1192"/>
      <c r="AP39" s="1192"/>
      <c r="AQ39" s="1192"/>
      <c r="AR39" s="1393">
        <v>0</v>
      </c>
    </row>
    <row r="40" spans="1:44" s="1777" customFormat="1" ht="17.25" customHeight="1">
      <c r="A40" s="258"/>
      <c r="C40" s="147"/>
      <c r="D40" s="5268">
        <v>3</v>
      </c>
      <c r="E40" s="5257" t="s">
        <v>189</v>
      </c>
      <c r="F40" s="5270" t="s">
        <v>65</v>
      </c>
      <c r="G40" s="5276" t="str">
        <f>INDEX(VD_NAME_LIST,MATCH("4190067",VD_ID_LIST,0))</f>
        <v>Производство. Теплоноситель</v>
      </c>
      <c r="H40" s="5309"/>
      <c r="I40" s="5309">
        <v>1</v>
      </c>
      <c r="J40" s="5307" t="s">
        <v>190</v>
      </c>
      <c r="K40" s="5303" t="s">
        <v>19</v>
      </c>
      <c r="L40" s="5246"/>
      <c r="M40" s="5246" t="s">
        <v>111</v>
      </c>
      <c r="N40" s="5306" t="s">
        <v>28</v>
      </c>
      <c r="O40" s="5303" t="s">
        <v>19</v>
      </c>
      <c r="P40" s="5246"/>
      <c r="Q40" s="5246" t="s">
        <v>111</v>
      </c>
      <c r="R40" s="5305" t="s">
        <v>28</v>
      </c>
      <c r="S40" s="5245" t="s">
        <v>19</v>
      </c>
      <c r="T40" s="1998"/>
      <c r="U40" s="1998" t="s">
        <v>111</v>
      </c>
      <c r="V40" s="2039" t="s">
        <v>28</v>
      </c>
      <c r="W40" s="2018"/>
      <c r="X40" s="1193"/>
      <c r="Y40" s="1193"/>
      <c r="Z40" s="1193"/>
      <c r="AA40" s="1193"/>
      <c r="AB40" s="1193" t="s">
        <v>191</v>
      </c>
      <c r="AC40" s="1193" t="s">
        <v>192</v>
      </c>
      <c r="AD40" s="1193" t="s">
        <v>193</v>
      </c>
      <c r="AE40" s="1193" t="s">
        <v>194</v>
      </c>
      <c r="AF40" s="1193" t="s">
        <v>195</v>
      </c>
      <c r="AG40" s="1193" t="s">
        <v>196</v>
      </c>
      <c r="AH40" s="1193" t="str">
        <f>IF($E$40=0,"",$E$40)</f>
        <v>Тарифы на теплоноситель, поставляемый теплоснабжающими организациями потребителям, другим теплоснабжающим организациям</v>
      </c>
      <c r="AI40" s="1193" t="str">
        <f>IF($G$40=0,"",$G$40)</f>
        <v>Производство. Теплоноситель</v>
      </c>
      <c r="AJ40" s="1193" t="str">
        <f>IF($J$40=0,"",$J$40)</f>
        <v>Тариф на теплоноситель, поставляемый ПАО "ТГК-1" потребителям, расположенным на территории Санкт-Петербурга</v>
      </c>
      <c r="AK40" s="1193" t="str">
        <f>IF($K$40="нет","без дифференциации",IF($N$40=0,"",$N$40))</f>
        <v>без дифференциации</v>
      </c>
      <c r="AL40" s="1193" t="str">
        <f>IF($O$40="нет","без дифференциации",IF($R$40=0,"",$R$40))</f>
        <v>без дифференциации</v>
      </c>
      <c r="AM40" s="1193" t="str">
        <f>IF($S$40="нет","без дифференциации",IF($V$40=0,"",$V$40))</f>
        <v>без дифференциации</v>
      </c>
      <c r="AN40" s="1697">
        <f>$I$40</f>
        <v>1</v>
      </c>
      <c r="AO40" s="1193" t="str">
        <f>$I$40&amp;"."&amp;$M$40</f>
        <v>1.1</v>
      </c>
      <c r="AP40" s="1185" t="str">
        <f>$I$40&amp;"."&amp;$M$40&amp;"."&amp;$Q$40</f>
        <v>1.1.1</v>
      </c>
      <c r="AQ40" s="1185" t="str">
        <f>$I$40&amp;"."&amp;$M$40&amp;"."&amp;$Q$40&amp;"."&amp;$U$40</f>
        <v>1.1.1.1</v>
      </c>
      <c r="AR40" s="1209">
        <v>0</v>
      </c>
    </row>
    <row r="41" spans="1:44" s="1777" customFormat="1" ht="17.25" customHeight="1">
      <c r="A41" s="258"/>
      <c r="C41" s="257"/>
      <c r="D41" s="5268"/>
      <c r="E41" s="5257"/>
      <c r="F41" s="5271"/>
      <c r="G41" s="5276"/>
      <c r="H41" s="5309"/>
      <c r="I41" s="5309"/>
      <c r="J41" s="5307"/>
      <c r="K41" s="5304"/>
      <c r="L41" s="5246"/>
      <c r="M41" s="5246"/>
      <c r="N41" s="5306" t="s">
        <v>28</v>
      </c>
      <c r="O41" s="5304"/>
      <c r="P41" s="5246"/>
      <c r="Q41" s="5246"/>
      <c r="R41" s="5305" t="s">
        <v>28</v>
      </c>
      <c r="S41" s="5245"/>
      <c r="T41" s="2081"/>
      <c r="U41" s="2082"/>
      <c r="V41" s="2083" t="s">
        <v>163</v>
      </c>
      <c r="W41" s="208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customHeight="1">
      <c r="A42" s="258"/>
      <c r="C42" s="257"/>
      <c r="D42" s="5269"/>
      <c r="E42" s="5258"/>
      <c r="F42" s="5271"/>
      <c r="G42" s="5277"/>
      <c r="H42" s="5269"/>
      <c r="I42" s="5269"/>
      <c r="J42" s="5308"/>
      <c r="K42" s="5304"/>
      <c r="L42" s="5269"/>
      <c r="M42" s="5269"/>
      <c r="N42" s="5305" t="s">
        <v>28</v>
      </c>
      <c r="O42" s="5250"/>
      <c r="P42" s="2085"/>
      <c r="Q42" s="2086"/>
      <c r="R42" s="2087" t="s">
        <v>164</v>
      </c>
      <c r="S42" s="2088"/>
      <c r="T42" s="2089"/>
      <c r="U42" s="2090"/>
      <c r="V42" s="2091"/>
      <c r="W42" s="2092"/>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customHeight="1">
      <c r="A43" s="258"/>
      <c r="C43" s="257"/>
      <c r="D43" s="5269"/>
      <c r="E43" s="5258"/>
      <c r="F43" s="5271"/>
      <c r="G43" s="5277"/>
      <c r="H43" s="5269"/>
      <c r="I43" s="5269"/>
      <c r="J43" s="5308"/>
      <c r="K43" s="5250"/>
      <c r="L43" s="2093"/>
      <c r="M43" s="2094"/>
      <c r="N43" s="2095" t="s">
        <v>165</v>
      </c>
      <c r="O43" s="2096"/>
      <c r="P43" s="2097"/>
      <c r="Q43" s="2098"/>
      <c r="R43" s="2099"/>
      <c r="S43" s="2100"/>
      <c r="T43" s="2101"/>
      <c r="U43" s="2102"/>
      <c r="V43" s="2103"/>
      <c r="W43" s="2104"/>
      <c r="X43" s="1185"/>
      <c r="Y43" s="1185"/>
      <c r="Z43" s="1185"/>
      <c r="AA43" s="1185"/>
      <c r="AB43" s="1185"/>
      <c r="AC43" s="1185"/>
      <c r="AD43" s="1185"/>
      <c r="AE43" s="1185"/>
      <c r="AF43" s="1185"/>
      <c r="AG43" s="1185"/>
      <c r="AH43" s="1185"/>
      <c r="AI43" s="1185"/>
      <c r="AJ43" s="1185"/>
      <c r="AK43" s="1185"/>
      <c r="AL43" s="1185"/>
      <c r="AM43" s="1185"/>
      <c r="AN43" s="1185"/>
      <c r="AO43" s="1185"/>
      <c r="AP43" s="1185"/>
      <c r="AQ43" s="1185"/>
      <c r="AR43" s="1209">
        <v>0</v>
      </c>
    </row>
    <row r="44" spans="1:44" s="1777" customFormat="1" ht="17.25" customHeight="1">
      <c r="A44" s="258"/>
      <c r="C44" s="257"/>
      <c r="D44" s="5269"/>
      <c r="E44" s="5258"/>
      <c r="F44" s="5272"/>
      <c r="G44" s="5277"/>
      <c r="H44" s="2105"/>
      <c r="I44" s="2106"/>
      <c r="J44" s="2107" t="s">
        <v>182</v>
      </c>
      <c r="K44" s="2108"/>
      <c r="L44" s="2109"/>
      <c r="M44" s="2110"/>
      <c r="N44" s="2111"/>
      <c r="O44" s="2112"/>
      <c r="P44" s="2113"/>
      <c r="Q44" s="2114"/>
      <c r="R44" s="2115"/>
      <c r="S44" s="2116"/>
      <c r="T44" s="2117"/>
      <c r="U44" s="2118"/>
      <c r="V44" s="2119"/>
      <c r="W44" s="2120"/>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customHeight="1">
      <c r="A45" s="258"/>
      <c r="C45" s="147"/>
      <c r="D45" s="5268">
        <v>4</v>
      </c>
      <c r="E45" s="5257" t="s">
        <v>197</v>
      </c>
      <c r="F45" s="5270" t="s">
        <v>65</v>
      </c>
      <c r="G45" s="5276" t="str">
        <f>INDEX(VD_NAME_LIST,MATCH("4190067",VD_ID_LIST,0))&amp;"; "&amp;INDEX(VD_NAME_LIST,MATCH("4190071",VD_ID_LIST,0))</f>
        <v>Производство. Теплоноситель; Сбыт. Теплоноситель</v>
      </c>
      <c r="H45" s="5309"/>
      <c r="I45" s="5309">
        <v>1</v>
      </c>
      <c r="J45" s="5307" t="s">
        <v>198</v>
      </c>
      <c r="K45" s="5303" t="s">
        <v>19</v>
      </c>
      <c r="L45" s="5246"/>
      <c r="M45" s="5246" t="s">
        <v>111</v>
      </c>
      <c r="N45" s="5306" t="s">
        <v>28</v>
      </c>
      <c r="O45" s="5303" t="s">
        <v>19</v>
      </c>
      <c r="P45" s="5246"/>
      <c r="Q45" s="5246" t="s">
        <v>111</v>
      </c>
      <c r="R45" s="5305" t="s">
        <v>28</v>
      </c>
      <c r="S45" s="5245" t="s">
        <v>19</v>
      </c>
      <c r="T45" s="1998"/>
      <c r="U45" s="1998" t="s">
        <v>111</v>
      </c>
      <c r="V45" s="2039" t="s">
        <v>28</v>
      </c>
      <c r="W45" s="2018"/>
      <c r="X45" s="1193"/>
      <c r="Y45" s="1193"/>
      <c r="Z45" s="1193"/>
      <c r="AA45" s="1193"/>
      <c r="AB45" s="1193" t="s">
        <v>199</v>
      </c>
      <c r="AC45" s="1193" t="s">
        <v>200</v>
      </c>
      <c r="AD45" s="1193" t="s">
        <v>201</v>
      </c>
      <c r="AE45" s="1193" t="s">
        <v>202</v>
      </c>
      <c r="AF45" s="1193" t="s">
        <v>203</v>
      </c>
      <c r="AG45" s="1193" t="s">
        <v>204</v>
      </c>
      <c r="AH45" s="1193" t="str">
        <f>IF($E$45=0,"",$E$45)</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45" s="1193" t="str">
        <f>IF($G$45=0,"",$G$45)</f>
        <v>Производство. Теплоноситель; Сбыт. Теплоноситель</v>
      </c>
      <c r="AJ45" s="1193" t="str">
        <f>IF($J$45=0,"",$J$45)</f>
        <v>Тариф на горячую воду (горячее водоснабжение), поставляемую ПАО "ТГК-1" в открытых системах теплоснабжения потребителям, расположенным на территории Санкт-Петербурга</v>
      </c>
      <c r="AK45" s="1193" t="str">
        <f>IF($K$45="нет","без дифференциации",IF($N$45=0,"",$N$45))</f>
        <v>без дифференциации</v>
      </c>
      <c r="AL45" s="1193" t="str">
        <f>IF($O$45="нет","без дифференциации",IF($R$45=0,"",$R$45))</f>
        <v>без дифференциации</v>
      </c>
      <c r="AM45" s="1193" t="str">
        <f>IF($S$45="нет","без дифференциации",IF($V$45=0,"",$V$45))</f>
        <v>без дифференциации</v>
      </c>
      <c r="AN45" s="1697">
        <f>$I$45</f>
        <v>1</v>
      </c>
      <c r="AO45" s="1193" t="str">
        <f>$I$45&amp;"."&amp;$M$45</f>
        <v>1.1</v>
      </c>
      <c r="AP45" s="1185" t="str">
        <f>$I$45&amp;"."&amp;$M$45&amp;"."&amp;$Q$45</f>
        <v>1.1.1</v>
      </c>
      <c r="AQ45" s="1185" t="str">
        <f>$I$45&amp;"."&amp;$M$45&amp;"."&amp;$Q$45&amp;"."&amp;$U$45</f>
        <v>1.1.1.1</v>
      </c>
      <c r="AR45" s="1209">
        <v>0</v>
      </c>
    </row>
    <row r="46" spans="1:44" s="1777" customFormat="1" ht="17.25" customHeight="1">
      <c r="A46" s="258"/>
      <c r="C46" s="257"/>
      <c r="D46" s="5268"/>
      <c r="E46" s="5257"/>
      <c r="F46" s="5271"/>
      <c r="G46" s="5276"/>
      <c r="H46" s="5309"/>
      <c r="I46" s="5309"/>
      <c r="J46" s="5307"/>
      <c r="K46" s="5304"/>
      <c r="L46" s="5246"/>
      <c r="M46" s="5246"/>
      <c r="N46" s="5306" t="s">
        <v>28</v>
      </c>
      <c r="O46" s="5304"/>
      <c r="P46" s="5246"/>
      <c r="Q46" s="5246"/>
      <c r="R46" s="5305" t="s">
        <v>28</v>
      </c>
      <c r="S46" s="5245"/>
      <c r="T46" s="2121"/>
      <c r="U46" s="2122"/>
      <c r="V46" s="2123" t="s">
        <v>163</v>
      </c>
      <c r="W46" s="2124"/>
      <c r="X46" s="1185"/>
      <c r="Y46" s="1185"/>
      <c r="Z46" s="1185"/>
      <c r="AA46" s="1185"/>
      <c r="AB46" s="1185"/>
      <c r="AC46" s="1185"/>
      <c r="AD46" s="1185"/>
      <c r="AE46" s="1185"/>
      <c r="AF46" s="1185"/>
      <c r="AG46" s="1185"/>
      <c r="AH46" s="1185"/>
      <c r="AI46" s="1185"/>
      <c r="AJ46" s="1185"/>
      <c r="AK46" s="1185"/>
      <c r="AL46" s="1185"/>
      <c r="AM46" s="1185"/>
      <c r="AN46" s="1185"/>
      <c r="AO46" s="1185"/>
      <c r="AP46" s="1185"/>
      <c r="AQ46" s="1185"/>
      <c r="AR46" s="1209">
        <v>0</v>
      </c>
    </row>
    <row r="47" spans="1:44" s="1777" customFormat="1" ht="17.25" customHeight="1">
      <c r="A47" s="258"/>
      <c r="C47" s="257"/>
      <c r="D47" s="5269"/>
      <c r="E47" s="5258"/>
      <c r="F47" s="5271"/>
      <c r="G47" s="5277"/>
      <c r="H47" s="5269"/>
      <c r="I47" s="5269"/>
      <c r="J47" s="5308"/>
      <c r="K47" s="5304"/>
      <c r="L47" s="5269"/>
      <c r="M47" s="5269"/>
      <c r="N47" s="5305" t="s">
        <v>28</v>
      </c>
      <c r="O47" s="5250"/>
      <c r="P47" s="2125"/>
      <c r="Q47" s="2126"/>
      <c r="R47" s="2127" t="s">
        <v>164</v>
      </c>
      <c r="S47" s="2128"/>
      <c r="T47" s="2129"/>
      <c r="U47" s="2130"/>
      <c r="V47" s="2131"/>
      <c r="W47" s="2132"/>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customHeight="1">
      <c r="A48" s="258"/>
      <c r="C48" s="257"/>
      <c r="D48" s="5269"/>
      <c r="E48" s="5258"/>
      <c r="F48" s="5271"/>
      <c r="G48" s="5277"/>
      <c r="H48" s="5269"/>
      <c r="I48" s="5269"/>
      <c r="J48" s="5308"/>
      <c r="K48" s="5250"/>
      <c r="L48" s="2133"/>
      <c r="M48" s="2134"/>
      <c r="N48" s="2135" t="s">
        <v>165</v>
      </c>
      <c r="O48" s="2136"/>
      <c r="P48" s="2137"/>
      <c r="Q48" s="2138"/>
      <c r="R48" s="2139"/>
      <c r="S48" s="2140"/>
      <c r="T48" s="2141"/>
      <c r="U48" s="2142"/>
      <c r="V48" s="2143"/>
      <c r="W48" s="2144"/>
      <c r="X48" s="1185"/>
      <c r="Y48" s="1185"/>
      <c r="Z48" s="1185"/>
      <c r="AA48" s="1185"/>
      <c r="AB48" s="1185"/>
      <c r="AC48" s="1185"/>
      <c r="AD48" s="1185"/>
      <c r="AE48" s="1185"/>
      <c r="AF48" s="1185"/>
      <c r="AG48" s="1185"/>
      <c r="AH48" s="1185"/>
      <c r="AI48" s="1185"/>
      <c r="AJ48" s="1185"/>
      <c r="AK48" s="1185"/>
      <c r="AL48" s="1185"/>
      <c r="AM48" s="1185"/>
      <c r="AN48" s="1185"/>
      <c r="AO48" s="1185"/>
      <c r="AP48" s="1185"/>
      <c r="AQ48" s="1185"/>
      <c r="AR48" s="1209">
        <v>0</v>
      </c>
    </row>
    <row r="49" spans="1:44" s="1777" customFormat="1" ht="17.25" customHeight="1">
      <c r="A49" s="258"/>
      <c r="C49" s="257"/>
      <c r="D49" s="5269"/>
      <c r="E49" s="5258"/>
      <c r="F49" s="5272"/>
      <c r="G49" s="5277"/>
      <c r="H49" s="2145"/>
      <c r="I49" s="2146"/>
      <c r="J49" s="2147" t="s">
        <v>182</v>
      </c>
      <c r="K49" s="2148"/>
      <c r="L49" s="2149"/>
      <c r="M49" s="2150"/>
      <c r="N49" s="2151"/>
      <c r="O49" s="2152"/>
      <c r="P49" s="2153"/>
      <c r="Q49" s="2154"/>
      <c r="R49" s="2155"/>
      <c r="S49" s="2156"/>
      <c r="T49" s="2157"/>
      <c r="U49" s="2158"/>
      <c r="V49" s="2159"/>
      <c r="W49" s="2160"/>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09">
        <v>0</v>
      </c>
    </row>
    <row r="50" spans="1:44" s="1777" customFormat="1" ht="17.25" customHeight="1">
      <c r="A50" s="258"/>
      <c r="C50" s="147"/>
      <c r="D50" s="5268">
        <v>5</v>
      </c>
      <c r="E50" s="5257" t="s">
        <v>205</v>
      </c>
      <c r="F50" s="5270" t="s">
        <v>19</v>
      </c>
      <c r="G50" s="5257"/>
      <c r="H50" s="5259"/>
      <c r="I50" s="5261"/>
      <c r="J50" s="5263"/>
      <c r="K50" s="5255"/>
      <c r="L50" s="5255"/>
      <c r="M50" s="5255"/>
      <c r="N50" s="5266"/>
      <c r="O50" s="5255"/>
      <c r="P50" s="5255"/>
      <c r="Q50" s="5255"/>
      <c r="R50" s="5253"/>
      <c r="S50" s="5255"/>
      <c r="T50" s="1346"/>
      <c r="U50" s="1346"/>
      <c r="V50" s="1345"/>
      <c r="W50" s="1222"/>
      <c r="X50" s="1193"/>
      <c r="Y50" s="1193"/>
      <c r="Z50" s="1193"/>
      <c r="AA50" s="1193"/>
      <c r="AB50" s="1193"/>
      <c r="AC50" s="1193" t="s">
        <v>206</v>
      </c>
      <c r="AD50" s="1193" t="s">
        <v>207</v>
      </c>
      <c r="AE50" s="1193" t="s">
        <v>208</v>
      </c>
      <c r="AF50" s="1193" t="s">
        <v>209</v>
      </c>
      <c r="AG50" s="1193" t="s">
        <v>210</v>
      </c>
      <c r="AH50" s="1193" t="str">
        <f>IF($E$50=0,"",$E$50)</f>
        <v>Тарифы на услуги по передаче тепловой энергии</v>
      </c>
      <c r="AI50" s="1193" t="str">
        <f>IF($G$50=0,"",$G$50)</f>
        <v/>
      </c>
      <c r="AJ50" s="1193" t="str">
        <f>IF($J$50=0,"",$J$50)</f>
        <v/>
      </c>
      <c r="AK50" s="1193" t="str">
        <f>IF($K$50="нет","без дифференциации",IF($N$50=0,"",$N$50))</f>
        <v/>
      </c>
      <c r="AL50" s="1193" t="str">
        <f>IF($O$50="нет","без дифференциации",IF($R$50=0,"",$R$50))</f>
        <v/>
      </c>
      <c r="AM50" s="1193" t="str">
        <f>IF($S$50="нет","без дифференциации",IF($V$50=0,"",$V$50))</f>
        <v/>
      </c>
      <c r="AN50" s="1697">
        <f>$I$50</f>
        <v>0</v>
      </c>
      <c r="AO50" s="1193" t="str">
        <f>$I$50&amp;"."&amp;$M$50</f>
        <v>.</v>
      </c>
      <c r="AP50" s="1185" t="str">
        <f>$I$50&amp;"."&amp;$M$50&amp;"."&amp;$Q$50</f>
        <v>..</v>
      </c>
      <c r="AQ50" s="1185" t="str">
        <f>$I$50&amp;"."&amp;$M$50&amp;"."&amp;$Q$50&amp;"."&amp;$U$50</f>
        <v>...</v>
      </c>
      <c r="AR50" s="1209">
        <v>0</v>
      </c>
    </row>
    <row r="51" spans="1:44" s="1777" customFormat="1" ht="17.25" customHeight="1">
      <c r="A51" s="258"/>
      <c r="C51" s="257"/>
      <c r="D51" s="5268"/>
      <c r="E51" s="5257"/>
      <c r="F51" s="5271"/>
      <c r="G51" s="5257"/>
      <c r="H51" s="5260"/>
      <c r="I51" s="5262"/>
      <c r="J51" s="5264"/>
      <c r="K51" s="5256"/>
      <c r="L51" s="5256"/>
      <c r="M51" s="5256"/>
      <c r="N51" s="5267"/>
      <c r="O51" s="5256"/>
      <c r="P51" s="5256"/>
      <c r="Q51" s="5256"/>
      <c r="R51" s="5254"/>
      <c r="S51" s="5256"/>
      <c r="T51" s="1223"/>
      <c r="U51" s="1223"/>
      <c r="V51" s="1223"/>
      <c r="W51" s="1224"/>
      <c r="X51" s="1185"/>
      <c r="Y51" s="1185"/>
      <c r="Z51" s="1185"/>
      <c r="AA51" s="1185"/>
      <c r="AB51" s="1185"/>
      <c r="AC51" s="1185"/>
      <c r="AD51" s="1185"/>
      <c r="AE51" s="1185"/>
      <c r="AF51" s="1185"/>
      <c r="AG51" s="1185"/>
      <c r="AH51" s="1185"/>
      <c r="AI51" s="1185"/>
      <c r="AJ51" s="1185"/>
      <c r="AK51" s="1185"/>
      <c r="AL51" s="1185"/>
      <c r="AM51" s="1185"/>
      <c r="AN51" s="1185"/>
      <c r="AO51" s="1185"/>
      <c r="AP51" s="1185"/>
      <c r="AQ51" s="1185"/>
      <c r="AR51" s="1209">
        <v>0</v>
      </c>
    </row>
    <row r="52" spans="1:44" s="1777" customFormat="1" ht="17.25" customHeight="1">
      <c r="A52" s="258"/>
      <c r="C52" s="257"/>
      <c r="D52" s="5269"/>
      <c r="E52" s="5258"/>
      <c r="F52" s="5271"/>
      <c r="G52" s="5258"/>
      <c r="H52" s="5260"/>
      <c r="I52" s="5262"/>
      <c r="J52" s="5265"/>
      <c r="K52" s="5256"/>
      <c r="L52" s="5256"/>
      <c r="M52" s="5256"/>
      <c r="N52" s="5254"/>
      <c r="O52" s="5256"/>
      <c r="P52" s="1344"/>
      <c r="Q52" s="1223"/>
      <c r="R52" s="1223"/>
      <c r="S52" s="266"/>
      <c r="T52" s="266"/>
      <c r="U52" s="266"/>
      <c r="V52" s="266"/>
      <c r="W52" s="1224"/>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09">
        <v>0</v>
      </c>
    </row>
    <row r="53" spans="1:44" s="1777" customFormat="1" ht="17.25" customHeight="1">
      <c r="A53" s="258"/>
      <c r="C53" s="257"/>
      <c r="D53" s="5269"/>
      <c r="E53" s="5258"/>
      <c r="F53" s="5271"/>
      <c r="G53" s="5258"/>
      <c r="H53" s="5260"/>
      <c r="I53" s="5262"/>
      <c r="J53" s="5265"/>
      <c r="K53" s="5256"/>
      <c r="L53" s="1223"/>
      <c r="M53" s="1223"/>
      <c r="N53" s="1223"/>
      <c r="O53" s="1223"/>
      <c r="P53" s="1223"/>
      <c r="Q53" s="1223"/>
      <c r="R53" s="1223"/>
      <c r="S53" s="266"/>
      <c r="T53" s="266"/>
      <c r="U53" s="266"/>
      <c r="V53" s="266"/>
      <c r="W53" s="1224"/>
      <c r="X53" s="1185"/>
      <c r="Y53" s="1185"/>
      <c r="Z53" s="1185"/>
      <c r="AA53" s="1185"/>
      <c r="AB53" s="1185"/>
      <c r="AC53" s="1185"/>
      <c r="AD53" s="1185"/>
      <c r="AE53" s="1185"/>
      <c r="AF53" s="1185"/>
      <c r="AG53" s="1185"/>
      <c r="AH53" s="1185"/>
      <c r="AI53" s="1185"/>
      <c r="AJ53" s="1185"/>
      <c r="AK53" s="1185"/>
      <c r="AL53" s="1185"/>
      <c r="AM53" s="1185"/>
      <c r="AN53" s="1185"/>
      <c r="AO53" s="1185"/>
      <c r="AP53" s="1185"/>
      <c r="AQ53" s="1185"/>
      <c r="AR53" s="1209">
        <v>0</v>
      </c>
    </row>
    <row r="54" spans="1:44" s="1777" customFormat="1" ht="17.25" customHeight="1">
      <c r="A54" s="258"/>
      <c r="C54" s="257"/>
      <c r="D54" s="5269"/>
      <c r="E54" s="5258"/>
      <c r="F54" s="5272"/>
      <c r="G54" s="5258"/>
      <c r="H54" s="1225"/>
      <c r="I54" s="1226"/>
      <c r="J54" s="1226"/>
      <c r="K54" s="1226"/>
      <c r="L54" s="1226"/>
      <c r="M54" s="1226"/>
      <c r="N54" s="1226"/>
      <c r="O54" s="1226"/>
      <c r="P54" s="1226"/>
      <c r="Q54" s="1226"/>
      <c r="R54" s="1226"/>
      <c r="S54" s="1227"/>
      <c r="T54" s="1227"/>
      <c r="U54" s="1227"/>
      <c r="V54" s="1227"/>
      <c r="W54" s="1228"/>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09">
        <v>0</v>
      </c>
    </row>
    <row r="55" spans="1:44" s="1777" customFormat="1" ht="17.25" customHeight="1">
      <c r="A55" s="258"/>
      <c r="C55" s="147"/>
      <c r="D55" s="5268">
        <v>6</v>
      </c>
      <c r="E55" s="5257" t="s">
        <v>211</v>
      </c>
      <c r="F55" s="5270" t="s">
        <v>19</v>
      </c>
      <c r="G55" s="5257"/>
      <c r="H55" s="5259"/>
      <c r="I55" s="5261"/>
      <c r="J55" s="5263"/>
      <c r="K55" s="5255"/>
      <c r="L55" s="5255"/>
      <c r="M55" s="5255"/>
      <c r="N55" s="5266"/>
      <c r="O55" s="5255"/>
      <c r="P55" s="5255"/>
      <c r="Q55" s="5255"/>
      <c r="R55" s="5253"/>
      <c r="S55" s="5255"/>
      <c r="T55" s="1346"/>
      <c r="U55" s="1346"/>
      <c r="V55" s="1345"/>
      <c r="W55" s="1222"/>
      <c r="X55" s="1193"/>
      <c r="Y55" s="1193"/>
      <c r="Z55" s="1193"/>
      <c r="AA55" s="1193"/>
      <c r="AB55" s="1193"/>
      <c r="AC55" s="1193" t="s">
        <v>212</v>
      </c>
      <c r="AD55" s="1193" t="s">
        <v>213</v>
      </c>
      <c r="AE55" s="1193" t="s">
        <v>214</v>
      </c>
      <c r="AF55" s="1193" t="s">
        <v>215</v>
      </c>
      <c r="AG55" s="1193" t="s">
        <v>216</v>
      </c>
      <c r="AH55" s="1193" t="str">
        <f>IF($E$55=0,"",$E$55)</f>
        <v>Тарифы на услуги по передаче теплоносителя</v>
      </c>
      <c r="AI55" s="1193" t="str">
        <f>IF($G$55=0,"",$G$55)</f>
        <v/>
      </c>
      <c r="AJ55" s="1193" t="str">
        <f>IF($J$55=0,"",$J$55)</f>
        <v/>
      </c>
      <c r="AK55" s="1193" t="str">
        <f>IF($K$55="нет","без дифференциации",IF($N$55=0,"",$N$55))</f>
        <v/>
      </c>
      <c r="AL55" s="1193" t="str">
        <f>IF($O$55="нет","без дифференциации",IF($R$55=0,"",$R$55))</f>
        <v/>
      </c>
      <c r="AM55" s="1193" t="str">
        <f>IF($S$55="нет","без дифференциации",IF($V$55=0,"",$V$55))</f>
        <v/>
      </c>
      <c r="AN55" s="1697">
        <f>$I$55</f>
        <v>0</v>
      </c>
      <c r="AO55" s="1193" t="str">
        <f>$I$55&amp;"."&amp;$M$55</f>
        <v>.</v>
      </c>
      <c r="AP55" s="1185" t="str">
        <f>$I$55&amp;"."&amp;$M$55&amp;"."&amp;$Q$55</f>
        <v>..</v>
      </c>
      <c r="AQ55" s="1185" t="str">
        <f>$I$55&amp;"."&amp;$M$55&amp;"."&amp;$Q$55&amp;"."&amp;$U$55</f>
        <v>...</v>
      </c>
      <c r="AR55" s="1209">
        <v>0</v>
      </c>
    </row>
    <row r="56" spans="1:44" s="1777" customFormat="1" ht="17.25" customHeight="1">
      <c r="A56" s="258"/>
      <c r="C56" s="257"/>
      <c r="D56" s="5268"/>
      <c r="E56" s="5257"/>
      <c r="F56" s="5271"/>
      <c r="G56" s="5257"/>
      <c r="H56" s="5260"/>
      <c r="I56" s="5262"/>
      <c r="J56" s="5264"/>
      <c r="K56" s="5256"/>
      <c r="L56" s="5256"/>
      <c r="M56" s="5256"/>
      <c r="N56" s="5267"/>
      <c r="O56" s="5256"/>
      <c r="P56" s="5256"/>
      <c r="Q56" s="5256"/>
      <c r="R56" s="5254"/>
      <c r="S56" s="5256"/>
      <c r="T56" s="1223"/>
      <c r="U56" s="1223"/>
      <c r="V56" s="1223"/>
      <c r="W56" s="1224"/>
      <c r="X56" s="1185"/>
      <c r="Y56" s="1185"/>
      <c r="Z56" s="1185"/>
      <c r="AA56" s="1185"/>
      <c r="AB56" s="1185"/>
      <c r="AC56" s="1185"/>
      <c r="AD56" s="1185"/>
      <c r="AE56" s="1185"/>
      <c r="AF56" s="1185"/>
      <c r="AG56" s="1185"/>
      <c r="AH56" s="1185"/>
      <c r="AI56" s="1185"/>
      <c r="AJ56" s="1185"/>
      <c r="AK56" s="1185"/>
      <c r="AL56" s="1185"/>
      <c r="AM56" s="1185"/>
      <c r="AN56" s="1185"/>
      <c r="AO56" s="1185"/>
      <c r="AP56" s="1185"/>
      <c r="AQ56" s="1185"/>
      <c r="AR56" s="1209">
        <v>0</v>
      </c>
    </row>
    <row r="57" spans="1:44" s="1777" customFormat="1" ht="17.25" customHeight="1">
      <c r="A57" s="258"/>
      <c r="C57" s="257"/>
      <c r="D57" s="5269"/>
      <c r="E57" s="5258"/>
      <c r="F57" s="5271"/>
      <c r="G57" s="5258"/>
      <c r="H57" s="5260"/>
      <c r="I57" s="5262"/>
      <c r="J57" s="5265"/>
      <c r="K57" s="5256"/>
      <c r="L57" s="5256"/>
      <c r="M57" s="5256"/>
      <c r="N57" s="5254"/>
      <c r="O57" s="5256"/>
      <c r="P57" s="1344"/>
      <c r="Q57" s="1223"/>
      <c r="R57" s="1223"/>
      <c r="S57" s="266"/>
      <c r="T57" s="266"/>
      <c r="U57" s="266"/>
      <c r="V57" s="266"/>
      <c r="W57" s="1224"/>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09">
        <v>0</v>
      </c>
    </row>
    <row r="58" spans="1:44" s="1777" customFormat="1" ht="17.25" customHeight="1">
      <c r="A58" s="258"/>
      <c r="C58" s="147"/>
      <c r="D58" s="5269"/>
      <c r="E58" s="5258"/>
      <c r="F58" s="5271"/>
      <c r="G58" s="5258"/>
      <c r="H58" s="5260"/>
      <c r="I58" s="5262"/>
      <c r="J58" s="5265"/>
      <c r="K58" s="5256"/>
      <c r="L58" s="1223"/>
      <c r="M58" s="1223"/>
      <c r="N58" s="1223"/>
      <c r="O58" s="1223"/>
      <c r="P58" s="1223"/>
      <c r="Q58" s="1223"/>
      <c r="R58" s="1223"/>
      <c r="S58" s="266"/>
      <c r="T58" s="266"/>
      <c r="U58" s="266"/>
      <c r="V58" s="266"/>
      <c r="W58" s="1224"/>
      <c r="Y58" s="1193"/>
      <c r="Z58" s="1193"/>
      <c r="AA58" s="1193"/>
      <c r="AB58" s="1193"/>
      <c r="AC58" s="1193"/>
      <c r="AD58" s="1193"/>
      <c r="AE58" s="1193"/>
      <c r="AF58" s="1193"/>
      <c r="AG58" s="1193"/>
      <c r="AH58" s="1193"/>
      <c r="AI58" s="1193"/>
      <c r="AJ58" s="1193"/>
      <c r="AK58" s="1193"/>
      <c r="AL58" s="1193"/>
      <c r="AM58" s="1193"/>
      <c r="AN58" s="1193"/>
      <c r="AO58" s="1193"/>
      <c r="AP58" s="1193"/>
      <c r="AQ58" s="1193"/>
      <c r="AR58" s="1252">
        <v>0</v>
      </c>
    </row>
    <row r="59" spans="1:44" s="1777" customFormat="1" ht="17.25" customHeight="1">
      <c r="A59" s="258"/>
      <c r="C59" s="257"/>
      <c r="D59" s="5269"/>
      <c r="E59" s="5258"/>
      <c r="F59" s="5272"/>
      <c r="G59" s="5258"/>
      <c r="H59" s="1225"/>
      <c r="I59" s="1226"/>
      <c r="J59" s="1226"/>
      <c r="K59" s="1226"/>
      <c r="L59" s="1226"/>
      <c r="M59" s="1226"/>
      <c r="N59" s="1226"/>
      <c r="O59" s="1226"/>
      <c r="P59" s="1226"/>
      <c r="Q59" s="1226"/>
      <c r="R59" s="1226"/>
      <c r="S59" s="1227"/>
      <c r="T59" s="1227"/>
      <c r="U59" s="1227"/>
      <c r="V59" s="1227"/>
      <c r="W59" s="122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209">
        <v>0</v>
      </c>
    </row>
    <row r="60" spans="1:44" s="1777" customFormat="1" ht="17.25" customHeight="1">
      <c r="A60" s="258"/>
      <c r="C60" s="147"/>
      <c r="D60" s="5278">
        <v>7</v>
      </c>
      <c r="E60" s="5281" t="s">
        <v>217</v>
      </c>
      <c r="F60" s="5270" t="s">
        <v>65</v>
      </c>
      <c r="G60" s="5284" t="str">
        <f>INDEX(VD_NAME_LIST,MATCH("4190073",VD_ID_LIST,0))</f>
        <v>Поддержание резервной тепловой мощности при отсутствии потребления тепловой энергии</v>
      </c>
      <c r="H60" s="5309"/>
      <c r="I60" s="5309">
        <v>1</v>
      </c>
      <c r="J60" s="5307" t="s">
        <v>218</v>
      </c>
      <c r="K60" s="5303" t="s">
        <v>19</v>
      </c>
      <c r="L60" s="5246"/>
      <c r="M60" s="5246" t="s">
        <v>111</v>
      </c>
      <c r="N60" s="5306" t="s">
        <v>28</v>
      </c>
      <c r="O60" s="5303" t="s">
        <v>19</v>
      </c>
      <c r="P60" s="5246"/>
      <c r="Q60" s="5246" t="s">
        <v>111</v>
      </c>
      <c r="R60" s="5305" t="s">
        <v>28</v>
      </c>
      <c r="S60" s="5245" t="s">
        <v>19</v>
      </c>
      <c r="T60" s="1998"/>
      <c r="U60" s="1998" t="s">
        <v>111</v>
      </c>
      <c r="V60" s="2039" t="s">
        <v>28</v>
      </c>
      <c r="W60" s="2018"/>
      <c r="X60" s="1193"/>
      <c r="Y60" s="1193"/>
      <c r="Z60" s="1193"/>
      <c r="AA60" s="1193"/>
      <c r="AB60" s="1193" t="s">
        <v>219</v>
      </c>
      <c r="AC60" s="1193" t="s">
        <v>220</v>
      </c>
      <c r="AD60" s="1193" t="s">
        <v>221</v>
      </c>
      <c r="AE60" s="1193" t="s">
        <v>222</v>
      </c>
      <c r="AF60" s="1193" t="s">
        <v>223</v>
      </c>
      <c r="AG60" s="1193" t="s">
        <v>224</v>
      </c>
      <c r="AH60" s="1193" t="str">
        <f>IF($E$60=0,"",$E$60)</f>
        <v>Плата за услуги по поддержанию резервной тепловой мощности при отсутствии потребления тепловой энергии</v>
      </c>
      <c r="AI60" s="1193" t="str">
        <f>IF($G$60=0,"",$G$60)</f>
        <v>Поддержание резервной тепловой мощности при отсутствии потребления тепловой энергии</v>
      </c>
      <c r="AJ60" s="1193" t="str">
        <f>IF($J$60=0,"",$J$60)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AK60" s="1193" t="str">
        <f>IF($K$60="нет","без дифференциации",IF($N$60=0,"",$N$60))</f>
        <v>без дифференциации</v>
      </c>
      <c r="AL60" s="1193" t="str">
        <f>IF($O$60="нет","без дифференциации",IF($R$60=0,"",$R$60))</f>
        <v>без дифференциации</v>
      </c>
      <c r="AM60" s="1193" t="str">
        <f>IF($S$60="нет","без дифференциации",IF($V$60=0,"",$V$60))</f>
        <v>без дифференциации</v>
      </c>
      <c r="AN60" s="1697">
        <f>$I$60</f>
        <v>1</v>
      </c>
      <c r="AO60" s="1193" t="str">
        <f>$I$60&amp;"."&amp;$M$60</f>
        <v>1.1</v>
      </c>
      <c r="AP60" s="1185" t="str">
        <f>$I$60&amp;"."&amp;$M$60&amp;"."&amp;$Q$60</f>
        <v>1.1.1</v>
      </c>
      <c r="AQ60" s="1185" t="str">
        <f>$I$60&amp;"."&amp;$M$60&amp;"."&amp;$Q$60&amp;"."&amp;$U$60</f>
        <v>1.1.1.1</v>
      </c>
      <c r="AR60" s="1234">
        <v>0</v>
      </c>
    </row>
    <row r="61" spans="1:44" s="1777" customFormat="1" ht="17.25" customHeight="1">
      <c r="A61" s="258"/>
      <c r="C61" s="257"/>
      <c r="D61" s="5279"/>
      <c r="E61" s="5282"/>
      <c r="F61" s="5271"/>
      <c r="G61" s="5285"/>
      <c r="H61" s="5309"/>
      <c r="I61" s="5309"/>
      <c r="J61" s="5307"/>
      <c r="K61" s="5304"/>
      <c r="L61" s="5246"/>
      <c r="M61" s="5246"/>
      <c r="N61" s="5306" t="s">
        <v>28</v>
      </c>
      <c r="O61" s="5304"/>
      <c r="P61" s="5246"/>
      <c r="Q61" s="5246"/>
      <c r="R61" s="5305" t="s">
        <v>28</v>
      </c>
      <c r="S61" s="5245"/>
      <c r="T61" s="2161"/>
      <c r="U61" s="2162"/>
      <c r="V61" s="2163" t="s">
        <v>163</v>
      </c>
      <c r="W61" s="2164"/>
      <c r="X61" s="1185"/>
      <c r="Y61" s="1185"/>
      <c r="Z61" s="1185"/>
      <c r="AA61" s="1185"/>
      <c r="AB61" s="1185"/>
      <c r="AC61" s="1185"/>
      <c r="AD61" s="1185"/>
      <c r="AE61" s="1185"/>
      <c r="AF61" s="1185"/>
      <c r="AG61" s="1185"/>
      <c r="AH61" s="1185"/>
      <c r="AI61" s="1185"/>
      <c r="AJ61" s="1185"/>
      <c r="AK61" s="1185"/>
      <c r="AL61" s="1185"/>
      <c r="AM61" s="1185"/>
      <c r="AN61" s="1185"/>
      <c r="AO61" s="1185"/>
      <c r="AP61" s="1185"/>
      <c r="AQ61" s="1185"/>
      <c r="AR61" s="1234">
        <v>0</v>
      </c>
    </row>
    <row r="62" spans="1:44" s="1777" customFormat="1" ht="17.25" customHeight="1">
      <c r="A62" s="258"/>
      <c r="C62" s="257"/>
      <c r="D62" s="5279"/>
      <c r="E62" s="5282"/>
      <c r="F62" s="5271"/>
      <c r="G62" s="5285"/>
      <c r="H62" s="5269"/>
      <c r="I62" s="5269"/>
      <c r="J62" s="5308"/>
      <c r="K62" s="5304"/>
      <c r="L62" s="5269"/>
      <c r="M62" s="5269"/>
      <c r="N62" s="5305" t="s">
        <v>28</v>
      </c>
      <c r="O62" s="5250"/>
      <c r="P62" s="2165"/>
      <c r="Q62" s="2166"/>
      <c r="R62" s="2167" t="s">
        <v>164</v>
      </c>
      <c r="S62" s="2168"/>
      <c r="T62" s="2169"/>
      <c r="U62" s="2170"/>
      <c r="V62" s="2171"/>
      <c r="W62" s="2172"/>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234">
        <v>0</v>
      </c>
    </row>
    <row r="63" spans="1:44" s="1777" customFormat="1" ht="17.25" customHeight="1">
      <c r="A63" s="258"/>
      <c r="C63" s="147"/>
      <c r="D63" s="5279"/>
      <c r="E63" s="5282"/>
      <c r="F63" s="5271"/>
      <c r="G63" s="5285"/>
      <c r="H63" s="5269"/>
      <c r="I63" s="5269"/>
      <c r="J63" s="5308"/>
      <c r="K63" s="5250"/>
      <c r="L63" s="2173"/>
      <c r="M63" s="2174"/>
      <c r="N63" s="2175" t="s">
        <v>165</v>
      </c>
      <c r="O63" s="2176"/>
      <c r="P63" s="2177"/>
      <c r="Q63" s="2178"/>
      <c r="R63" s="2179"/>
      <c r="S63" s="2180"/>
      <c r="T63" s="2181"/>
      <c r="U63" s="2182"/>
      <c r="V63" s="2183"/>
      <c r="W63" s="2184"/>
      <c r="Y63" s="1193"/>
      <c r="Z63" s="1193"/>
      <c r="AA63" s="1193"/>
      <c r="AB63" s="1193"/>
      <c r="AC63" s="1193"/>
      <c r="AD63" s="1193"/>
      <c r="AE63" s="1193"/>
      <c r="AF63" s="1193"/>
      <c r="AG63" s="1193"/>
      <c r="AH63" s="1193"/>
      <c r="AI63" s="1193"/>
      <c r="AJ63" s="1193"/>
      <c r="AK63" s="1193"/>
      <c r="AL63" s="1193"/>
      <c r="AM63" s="1193"/>
      <c r="AN63" s="1193"/>
      <c r="AO63" s="1193"/>
      <c r="AP63" s="1193"/>
      <c r="AQ63" s="1193"/>
      <c r="AR63" s="1252">
        <v>0</v>
      </c>
    </row>
    <row r="64" spans="1:44" s="1777" customFormat="1" ht="17.25" customHeight="1">
      <c r="A64" s="258"/>
      <c r="C64" s="257"/>
      <c r="D64" s="5280"/>
      <c r="E64" s="5283"/>
      <c r="F64" s="5272"/>
      <c r="G64" s="5286"/>
      <c r="H64" s="2185"/>
      <c r="I64" s="2186"/>
      <c r="J64" s="2187" t="s">
        <v>182</v>
      </c>
      <c r="K64" s="2188"/>
      <c r="L64" s="2189"/>
      <c r="M64" s="2190"/>
      <c r="N64" s="2191"/>
      <c r="O64" s="2192"/>
      <c r="P64" s="2193"/>
      <c r="Q64" s="2194"/>
      <c r="R64" s="2195"/>
      <c r="S64" s="2196"/>
      <c r="T64" s="2197"/>
      <c r="U64" s="2198"/>
      <c r="V64" s="2199"/>
      <c r="W64" s="2200"/>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234">
        <v>0</v>
      </c>
    </row>
    <row r="65" spans="1:44" s="1777" customFormat="1" ht="17.25" customHeight="1">
      <c r="A65" s="258"/>
      <c r="C65" s="147"/>
      <c r="D65" s="5268">
        <v>8</v>
      </c>
      <c r="E65" s="5257" t="s">
        <v>225</v>
      </c>
      <c r="F65" s="5270" t="s">
        <v>19</v>
      </c>
      <c r="G65" s="5257"/>
      <c r="H65" s="5259"/>
      <c r="I65" s="5261"/>
      <c r="J65" s="5263"/>
      <c r="K65" s="5255"/>
      <c r="L65" s="5255"/>
      <c r="M65" s="5255"/>
      <c r="N65" s="5266"/>
      <c r="O65" s="5255"/>
      <c r="P65" s="5255"/>
      <c r="Q65" s="5255"/>
      <c r="R65" s="5253"/>
      <c r="S65" s="5255"/>
      <c r="T65" s="1396"/>
      <c r="U65" s="1396"/>
      <c r="V65" s="1398"/>
      <c r="W65" s="1222"/>
      <c r="X65" s="1193"/>
      <c r="Y65" s="1193"/>
      <c r="Z65" s="1193"/>
      <c r="AA65" s="1193"/>
      <c r="AB65" s="1193"/>
      <c r="AC65" s="1193" t="s">
        <v>226</v>
      </c>
      <c r="AD65" s="1193" t="s">
        <v>227</v>
      </c>
      <c r="AE65" s="1193" t="s">
        <v>228</v>
      </c>
      <c r="AF65" s="1193" t="s">
        <v>229</v>
      </c>
      <c r="AG65" s="1193" t="s">
        <v>230</v>
      </c>
      <c r="AH65" s="1193" t="str">
        <f>IF($E$65=0,"",$E$65)</f>
        <v>Плата за подключение (технологическое присоединение) к системе теплоснабжения</v>
      </c>
      <c r="AI65" s="1193" t="str">
        <f>IF($G$65=0,"",$G$65)</f>
        <v/>
      </c>
      <c r="AJ65" s="1193" t="str">
        <f>IF($J$65=0,"",$J$65)</f>
        <v/>
      </c>
      <c r="AK65" s="1193" t="str">
        <f>IF($K$65="нет","без дифференциации",IF($N$65=0,"",$N$65))</f>
        <v/>
      </c>
      <c r="AL65" s="1193" t="str">
        <f>IF($O$65="нет","без дифференциации",IF($R$65=0,"",$R$65))</f>
        <v/>
      </c>
      <c r="AM65" s="1193" t="str">
        <f>IF($S$65="нет","без дифференциации",IF($V$65=0,"",$V$65))</f>
        <v/>
      </c>
      <c r="AN65" s="1697">
        <f>$I$65</f>
        <v>0</v>
      </c>
      <c r="AO65" s="1193" t="str">
        <f>$I$65&amp;"."&amp;$M$65</f>
        <v>.</v>
      </c>
      <c r="AP65" s="1185" t="str">
        <f>$I$65&amp;"."&amp;$M$65&amp;"."&amp;$Q$65</f>
        <v>..</v>
      </c>
      <c r="AQ65" s="1185" t="str">
        <f>$I$65&amp;"."&amp;$M$65&amp;"."&amp;$Q$65&amp;"."&amp;$U$65</f>
        <v>...</v>
      </c>
      <c r="AR65" s="1234">
        <v>0</v>
      </c>
    </row>
    <row r="66" spans="1:44" s="1777" customFormat="1" ht="17.25" customHeight="1">
      <c r="A66" s="258"/>
      <c r="C66" s="257"/>
      <c r="D66" s="5268"/>
      <c r="E66" s="5257"/>
      <c r="F66" s="5271"/>
      <c r="G66" s="5257"/>
      <c r="H66" s="5260"/>
      <c r="I66" s="5262"/>
      <c r="J66" s="5264"/>
      <c r="K66" s="5256"/>
      <c r="L66" s="5256"/>
      <c r="M66" s="5256"/>
      <c r="N66" s="5267"/>
      <c r="O66" s="5256"/>
      <c r="P66" s="5256"/>
      <c r="Q66" s="5256"/>
      <c r="R66" s="5254"/>
      <c r="S66" s="5256"/>
      <c r="T66" s="1223"/>
      <c r="U66" s="1223"/>
      <c r="V66" s="1223"/>
      <c r="W66" s="1224"/>
      <c r="X66" s="1185"/>
      <c r="Y66" s="1185"/>
      <c r="Z66" s="1185"/>
      <c r="AA66" s="1185"/>
      <c r="AB66" s="1185"/>
      <c r="AC66" s="1185"/>
      <c r="AD66" s="1185"/>
      <c r="AE66" s="1185"/>
      <c r="AF66" s="1185"/>
      <c r="AG66" s="1185"/>
      <c r="AH66" s="1185"/>
      <c r="AI66" s="1185"/>
      <c r="AJ66" s="1185"/>
      <c r="AK66" s="1185"/>
      <c r="AL66" s="1185"/>
      <c r="AM66" s="1185"/>
      <c r="AN66" s="1185"/>
      <c r="AO66" s="1185"/>
      <c r="AP66" s="1185"/>
      <c r="AQ66" s="1185"/>
      <c r="AR66" s="1234">
        <v>0</v>
      </c>
    </row>
    <row r="67" spans="1:44" s="1777" customFormat="1" ht="17.25" customHeight="1">
      <c r="A67" s="258"/>
      <c r="C67" s="257"/>
      <c r="D67" s="5269"/>
      <c r="E67" s="5258"/>
      <c r="F67" s="5271"/>
      <c r="G67" s="5258"/>
      <c r="H67" s="5260"/>
      <c r="I67" s="5262"/>
      <c r="J67" s="5265"/>
      <c r="K67" s="5256"/>
      <c r="L67" s="5256"/>
      <c r="M67" s="5256"/>
      <c r="N67" s="5254"/>
      <c r="O67" s="5256"/>
      <c r="P67" s="1397"/>
      <c r="Q67" s="1223"/>
      <c r="R67" s="1223"/>
      <c r="S67" s="266"/>
      <c r="T67" s="266"/>
      <c r="U67" s="266"/>
      <c r="V67" s="266"/>
      <c r="W67" s="1224"/>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234">
        <v>0</v>
      </c>
    </row>
    <row r="68" spans="1:44" s="1777" customFormat="1" ht="17.25" customHeight="1">
      <c r="A68" s="258"/>
      <c r="C68" s="147"/>
      <c r="D68" s="5269"/>
      <c r="E68" s="5258"/>
      <c r="F68" s="5271"/>
      <c r="G68" s="5258"/>
      <c r="H68" s="5260"/>
      <c r="I68" s="5262"/>
      <c r="J68" s="5265"/>
      <c r="K68" s="5256"/>
      <c r="L68" s="1223"/>
      <c r="M68" s="1223"/>
      <c r="N68" s="1223"/>
      <c r="O68" s="1223"/>
      <c r="P68" s="1223"/>
      <c r="Q68" s="1223"/>
      <c r="R68" s="1223"/>
      <c r="S68" s="266"/>
      <c r="T68" s="266"/>
      <c r="U68" s="266"/>
      <c r="V68" s="266"/>
      <c r="W68" s="1224"/>
      <c r="Y68" s="1193"/>
      <c r="Z68" s="1193"/>
      <c r="AA68" s="1193"/>
      <c r="AB68" s="1193"/>
      <c r="AC68" s="1193"/>
      <c r="AD68" s="1193"/>
      <c r="AE68" s="1193"/>
      <c r="AF68" s="1193"/>
      <c r="AG68" s="1193"/>
      <c r="AH68" s="1193"/>
      <c r="AI68" s="1193"/>
      <c r="AJ68" s="1193"/>
      <c r="AK68" s="1193"/>
      <c r="AL68" s="1193"/>
      <c r="AM68" s="1193"/>
      <c r="AN68" s="1193"/>
      <c r="AO68" s="1193"/>
      <c r="AP68" s="1193"/>
      <c r="AQ68" s="1193"/>
      <c r="AR68" s="1252">
        <v>0</v>
      </c>
    </row>
    <row r="69" spans="1:44" s="1777" customFormat="1" ht="17.25" customHeight="1">
      <c r="A69" s="258"/>
      <c r="C69" s="257"/>
      <c r="D69" s="5269"/>
      <c r="E69" s="5258"/>
      <c r="F69" s="5272"/>
      <c r="G69" s="5258"/>
      <c r="H69" s="1225"/>
      <c r="I69" s="1226"/>
      <c r="J69" s="1226"/>
      <c r="K69" s="1226"/>
      <c r="L69" s="1226"/>
      <c r="M69" s="1226"/>
      <c r="N69" s="1226"/>
      <c r="O69" s="1226"/>
      <c r="P69" s="1226"/>
      <c r="Q69" s="1226"/>
      <c r="R69" s="1226"/>
      <c r="S69" s="1227"/>
      <c r="T69" s="1227"/>
      <c r="U69" s="1227"/>
      <c r="V69" s="1227"/>
      <c r="W69" s="1228"/>
      <c r="X69" s="1185"/>
      <c r="Y69" s="1185"/>
      <c r="Z69" s="1185"/>
      <c r="AA69" s="1185"/>
      <c r="AB69" s="1185"/>
      <c r="AC69" s="1185"/>
      <c r="AD69" s="1185"/>
      <c r="AE69" s="1185"/>
      <c r="AF69" s="1185"/>
      <c r="AG69" s="1185"/>
      <c r="AH69" s="1185"/>
      <c r="AI69" s="1185"/>
      <c r="AJ69" s="1185"/>
      <c r="AK69" s="1185"/>
      <c r="AL69" s="1185"/>
      <c r="AM69" s="1185"/>
      <c r="AN69" s="1185"/>
      <c r="AO69" s="1185"/>
      <c r="AP69" s="1185"/>
      <c r="AQ69" s="1185"/>
      <c r="AR69" s="1234">
        <v>0</v>
      </c>
    </row>
    <row r="70" spans="1:44" s="1777" customFormat="1" ht="17.25" customHeight="1">
      <c r="A70" s="258"/>
      <c r="C70" s="147"/>
      <c r="D70" s="5268">
        <v>9</v>
      </c>
      <c r="E70" s="5257" t="s">
        <v>231</v>
      </c>
      <c r="F70" s="5270" t="s">
        <v>19</v>
      </c>
      <c r="G70" s="5257"/>
      <c r="H70" s="5259"/>
      <c r="I70" s="5261"/>
      <c r="J70" s="5263"/>
      <c r="K70" s="5255"/>
      <c r="L70" s="5255"/>
      <c r="M70" s="5255"/>
      <c r="N70" s="5266"/>
      <c r="O70" s="5255"/>
      <c r="P70" s="5255"/>
      <c r="Q70" s="5255"/>
      <c r="R70" s="5253"/>
      <c r="S70" s="5255"/>
      <c r="T70" s="1852"/>
      <c r="U70" s="1852"/>
      <c r="V70" s="1854"/>
      <c r="W70" s="1222"/>
      <c r="X70" s="1193"/>
      <c r="Y70" s="1193"/>
      <c r="Z70" s="1193"/>
      <c r="AA70" s="1193"/>
      <c r="AB70" s="1193"/>
      <c r="AC70" s="1193" t="s">
        <v>232</v>
      </c>
      <c r="AD70" s="1193" t="s">
        <v>233</v>
      </c>
      <c r="AE70" s="1193" t="s">
        <v>234</v>
      </c>
      <c r="AF70" s="1193" t="s">
        <v>235</v>
      </c>
      <c r="AG70" s="1193" t="s">
        <v>236</v>
      </c>
      <c r="AH70" s="1193" t="str">
        <f>IF($E$70=0,"",$E$70)</f>
        <v>Плата за подключение (технологическое присоединение) к системе теплоснабжения (индивидуальная)</v>
      </c>
      <c r="AI70" s="1193" t="str">
        <f>IF($G$70=0,"",$G$70)</f>
        <v/>
      </c>
      <c r="AJ70" s="1193" t="str">
        <f>IF($J$70=0,"",$J$70)</f>
        <v/>
      </c>
      <c r="AK70" s="1193" t="str">
        <f>IF($K$70="нет","без дифференциации",IF($N$70=0,"",$N$70))</f>
        <v/>
      </c>
      <c r="AL70" s="1193" t="str">
        <f>IF($O$70="нет","без дифференциации",IF($R$70=0,"",$R$70))</f>
        <v/>
      </c>
      <c r="AM70" s="1193" t="str">
        <f>IF($S$70="нет","без дифференциации",IF($V$70=0,"",$V$70))</f>
        <v/>
      </c>
      <c r="AN70" s="1697">
        <f>$I$70</f>
        <v>0</v>
      </c>
      <c r="AO70" s="1193" t="str">
        <f>$I$70&amp;"."&amp;$M$70</f>
        <v>.</v>
      </c>
      <c r="AP70" s="1192" t="str">
        <f>$I$70&amp;"."&amp;$M$70&amp;"."&amp;$Q$70</f>
        <v>..</v>
      </c>
      <c r="AQ70" s="1192" t="str">
        <f>$I$70&amp;"."&amp;$M$70&amp;"."&amp;$Q$70&amp;"."&amp;$U$70</f>
        <v>...</v>
      </c>
      <c r="AR70" s="1393">
        <v>0</v>
      </c>
    </row>
    <row r="71" spans="1:44" s="1777" customFormat="1" ht="17.25" customHeight="1">
      <c r="A71" s="258"/>
      <c r="C71" s="257"/>
      <c r="D71" s="5268"/>
      <c r="E71" s="5257"/>
      <c r="F71" s="5271"/>
      <c r="G71" s="5257"/>
      <c r="H71" s="5260"/>
      <c r="I71" s="5262"/>
      <c r="J71" s="5264"/>
      <c r="K71" s="5256"/>
      <c r="L71" s="5256"/>
      <c r="M71" s="5256"/>
      <c r="N71" s="5267"/>
      <c r="O71" s="5256"/>
      <c r="P71" s="5256"/>
      <c r="Q71" s="5256"/>
      <c r="R71" s="5254"/>
      <c r="S71" s="5256"/>
      <c r="T71" s="1855"/>
      <c r="U71" s="1855"/>
      <c r="V71" s="1855"/>
      <c r="W71" s="1856"/>
      <c r="X71" s="1192"/>
      <c r="Y71" s="1192"/>
      <c r="Z71" s="1192"/>
      <c r="AA71" s="1192"/>
      <c r="AB71" s="1192"/>
      <c r="AC71" s="1192"/>
      <c r="AD71" s="1192"/>
      <c r="AE71" s="1192"/>
      <c r="AF71" s="1192"/>
      <c r="AG71" s="1192"/>
      <c r="AH71" s="1192"/>
      <c r="AI71" s="1192"/>
      <c r="AJ71" s="1192"/>
      <c r="AK71" s="1192"/>
      <c r="AL71" s="1192"/>
      <c r="AM71" s="1192"/>
      <c r="AN71" s="1192"/>
      <c r="AO71" s="1192"/>
      <c r="AP71" s="1192"/>
      <c r="AQ71" s="1192"/>
      <c r="AR71" s="1393">
        <v>0</v>
      </c>
    </row>
    <row r="72" spans="1:44" s="1777" customFormat="1" ht="17.25" customHeight="1">
      <c r="A72" s="258"/>
      <c r="C72" s="257"/>
      <c r="D72" s="5269"/>
      <c r="E72" s="5258"/>
      <c r="F72" s="5271"/>
      <c r="G72" s="5258"/>
      <c r="H72" s="5260"/>
      <c r="I72" s="5262"/>
      <c r="J72" s="5265"/>
      <c r="K72" s="5256"/>
      <c r="L72" s="5256"/>
      <c r="M72" s="5256"/>
      <c r="N72" s="5254"/>
      <c r="O72" s="5256"/>
      <c r="P72" s="1853"/>
      <c r="Q72" s="1855"/>
      <c r="R72" s="1855"/>
      <c r="S72" s="266"/>
      <c r="T72" s="266"/>
      <c r="U72" s="266"/>
      <c r="V72" s="266"/>
      <c r="W72" s="1856"/>
      <c r="X72" s="1192"/>
      <c r="Y72" s="1192"/>
      <c r="Z72" s="1192"/>
      <c r="AA72" s="1192"/>
      <c r="AB72" s="1192"/>
      <c r="AC72" s="1192"/>
      <c r="AD72" s="1192"/>
      <c r="AE72" s="1192"/>
      <c r="AF72" s="1192"/>
      <c r="AG72" s="1192"/>
      <c r="AH72" s="1192"/>
      <c r="AI72" s="1192"/>
      <c r="AJ72" s="1192"/>
      <c r="AK72" s="1192"/>
      <c r="AL72" s="1192"/>
      <c r="AM72" s="1192"/>
      <c r="AN72" s="1192"/>
      <c r="AO72" s="1192"/>
      <c r="AP72" s="1192"/>
      <c r="AQ72" s="1192"/>
      <c r="AR72" s="1393">
        <v>0</v>
      </c>
    </row>
    <row r="73" spans="1:44" s="1777" customFormat="1" ht="17.25" customHeight="1">
      <c r="A73" s="258"/>
      <c r="C73" s="147"/>
      <c r="D73" s="5269"/>
      <c r="E73" s="5258"/>
      <c r="F73" s="5271"/>
      <c r="G73" s="5258"/>
      <c r="H73" s="5260"/>
      <c r="I73" s="5262"/>
      <c r="J73" s="5265"/>
      <c r="K73" s="5256"/>
      <c r="L73" s="1855"/>
      <c r="M73" s="1855"/>
      <c r="N73" s="1855"/>
      <c r="O73" s="1855"/>
      <c r="P73" s="1855"/>
      <c r="Q73" s="1855"/>
      <c r="R73" s="1855"/>
      <c r="S73" s="266"/>
      <c r="T73" s="266"/>
      <c r="U73" s="266"/>
      <c r="V73" s="266"/>
      <c r="W73" s="1856"/>
      <c r="Y73" s="1193"/>
      <c r="Z73" s="1193"/>
      <c r="AA73" s="1193"/>
      <c r="AB73" s="1193"/>
      <c r="AC73" s="1193"/>
      <c r="AD73" s="1193"/>
      <c r="AE73" s="1193"/>
      <c r="AF73" s="1193"/>
      <c r="AG73" s="1193"/>
      <c r="AH73" s="1193"/>
      <c r="AI73" s="1193"/>
      <c r="AJ73" s="1193"/>
      <c r="AK73" s="1193"/>
      <c r="AL73" s="1193"/>
      <c r="AM73" s="1193"/>
      <c r="AN73" s="1193"/>
      <c r="AO73" s="1193"/>
      <c r="AP73" s="1193"/>
      <c r="AQ73" s="1193"/>
      <c r="AR73" s="1393">
        <v>0</v>
      </c>
    </row>
    <row r="74" spans="1:44" s="1777" customFormat="1" ht="17.25" customHeight="1">
      <c r="A74" s="258"/>
      <c r="C74" s="257"/>
      <c r="D74" s="5269"/>
      <c r="E74" s="5258"/>
      <c r="F74" s="5272"/>
      <c r="G74" s="5258"/>
      <c r="H74" s="1225"/>
      <c r="I74" s="1857"/>
      <c r="J74" s="1857"/>
      <c r="K74" s="1857"/>
      <c r="L74" s="1857"/>
      <c r="M74" s="1857"/>
      <c r="N74" s="1857"/>
      <c r="O74" s="1857"/>
      <c r="P74" s="1857"/>
      <c r="Q74" s="1857"/>
      <c r="R74" s="1857"/>
      <c r="S74" s="1227"/>
      <c r="T74" s="1227"/>
      <c r="U74" s="1227"/>
      <c r="V74" s="1227"/>
      <c r="W74" s="1858"/>
      <c r="X74" s="1192"/>
      <c r="Y74" s="1192"/>
      <c r="Z74" s="1192"/>
      <c r="AA74" s="1192"/>
      <c r="AB74" s="1192"/>
      <c r="AC74" s="1192"/>
      <c r="AD74" s="1192"/>
      <c r="AE74" s="1192"/>
      <c r="AF74" s="1192"/>
      <c r="AG74" s="1192"/>
      <c r="AH74" s="1192"/>
      <c r="AI74" s="1192"/>
      <c r="AJ74" s="1192"/>
      <c r="AK74" s="1192"/>
      <c r="AL74" s="1192"/>
      <c r="AM74" s="1192"/>
      <c r="AN74" s="1192"/>
      <c r="AO74" s="1192"/>
      <c r="AP74" s="1192"/>
      <c r="AQ74" s="1192"/>
      <c r="AR74" s="1393">
        <v>0</v>
      </c>
    </row>
    <row r="75" spans="1:44" s="1777" customFormat="1" ht="17.25" customHeight="1">
      <c r="A75" s="258"/>
      <c r="C75" s="147"/>
      <c r="D75" s="5268">
        <v>10</v>
      </c>
      <c r="E75" s="5257" t="s">
        <v>237</v>
      </c>
      <c r="F75" s="5270" t="s">
        <v>19</v>
      </c>
      <c r="G75" s="5257"/>
      <c r="H75" s="5259"/>
      <c r="I75" s="5261"/>
      <c r="J75" s="5263"/>
      <c r="K75" s="5255"/>
      <c r="L75" s="5255"/>
      <c r="M75" s="5255"/>
      <c r="N75" s="5266"/>
      <c r="O75" s="5255"/>
      <c r="P75" s="5255"/>
      <c r="Q75" s="5255"/>
      <c r="R75" s="5253"/>
      <c r="S75" s="5255"/>
      <c r="T75" s="1852"/>
      <c r="U75" s="1852"/>
      <c r="V75" s="1854"/>
      <c r="W75" s="1222"/>
      <c r="X75" s="1193"/>
      <c r="Y75" s="1193"/>
      <c r="Z75" s="1193"/>
      <c r="AA75" s="1193"/>
      <c r="AB75" s="1193"/>
      <c r="AC75" s="1193" t="s">
        <v>238</v>
      </c>
      <c r="AD75" s="1193" t="s">
        <v>239</v>
      </c>
      <c r="AE75" s="1193" t="s">
        <v>240</v>
      </c>
      <c r="AF75" s="1193" t="s">
        <v>241</v>
      </c>
      <c r="AG75" s="1193" t="s">
        <v>242</v>
      </c>
      <c r="AH75" s="1193" t="str">
        <f>IF($E$75=0,"",$E$75)</f>
        <v>Предельный уровень цены на тепловую энергию (мощность), поставляемую теплоснабжающими организациями потребителям</v>
      </c>
      <c r="AI75" s="1193" t="str">
        <f>IF($G$75=0,"",$G$75)</f>
        <v/>
      </c>
      <c r="AJ75" s="1193" t="str">
        <f>IF($J$75=0,"",$J$75)</f>
        <v/>
      </c>
      <c r="AK75" s="1193" t="str">
        <f>IF($K$75="нет","без дифференциации",IF($N$75=0,"",$N$75))</f>
        <v/>
      </c>
      <c r="AL75" s="1193" t="str">
        <f>IF($O$75="нет","без дифференциации",IF($R$75=0,"",$R$75))</f>
        <v/>
      </c>
      <c r="AM75" s="1193" t="str">
        <f>IF($S$75="нет","без дифференциации",IF($V$75=0,"",$V$75))</f>
        <v/>
      </c>
      <c r="AN75" s="1697">
        <f>$I$75</f>
        <v>0</v>
      </c>
      <c r="AO75" s="1193" t="str">
        <f>$I$75&amp;"."&amp;$M$75</f>
        <v>.</v>
      </c>
      <c r="AP75" s="1192" t="str">
        <f>$I$75&amp;"."&amp;$M$75&amp;"."&amp;$Q$75</f>
        <v>..</v>
      </c>
      <c r="AQ75" s="1192" t="str">
        <f>$I$75&amp;"."&amp;$M$75&amp;"."&amp;$Q$75&amp;"."&amp;$U$75</f>
        <v>...</v>
      </c>
      <c r="AR75" s="1393">
        <v>0</v>
      </c>
    </row>
    <row r="76" spans="1:44" s="1777" customFormat="1" ht="17.25" customHeight="1">
      <c r="A76" s="258"/>
      <c r="C76" s="257"/>
      <c r="D76" s="5268"/>
      <c r="E76" s="5257"/>
      <c r="F76" s="5271"/>
      <c r="G76" s="5257"/>
      <c r="H76" s="5260"/>
      <c r="I76" s="5262"/>
      <c r="J76" s="5264"/>
      <c r="K76" s="5256"/>
      <c r="L76" s="5256"/>
      <c r="M76" s="5256"/>
      <c r="N76" s="5267"/>
      <c r="O76" s="5256"/>
      <c r="P76" s="5256"/>
      <c r="Q76" s="5256"/>
      <c r="R76" s="5254"/>
      <c r="S76" s="5256"/>
      <c r="T76" s="1855"/>
      <c r="U76" s="1855"/>
      <c r="V76" s="1855"/>
      <c r="W76" s="1856"/>
      <c r="X76" s="1192"/>
      <c r="Y76" s="1192"/>
      <c r="Z76" s="1192"/>
      <c r="AA76" s="1192"/>
      <c r="AB76" s="1192"/>
      <c r="AC76" s="1192"/>
      <c r="AD76" s="1192"/>
      <c r="AE76" s="1192"/>
      <c r="AF76" s="1192"/>
      <c r="AG76" s="1192"/>
      <c r="AH76" s="1192"/>
      <c r="AI76" s="1192"/>
      <c r="AJ76" s="1192"/>
      <c r="AK76" s="1192"/>
      <c r="AL76" s="1192"/>
      <c r="AM76" s="1192"/>
      <c r="AN76" s="1192"/>
      <c r="AO76" s="1192"/>
      <c r="AP76" s="1192"/>
      <c r="AQ76" s="1192"/>
      <c r="AR76" s="1393">
        <v>0</v>
      </c>
    </row>
    <row r="77" spans="1:44" s="1777" customFormat="1" ht="17.25" customHeight="1">
      <c r="A77" s="258"/>
      <c r="C77" s="257"/>
      <c r="D77" s="5269"/>
      <c r="E77" s="5258"/>
      <c r="F77" s="5271"/>
      <c r="G77" s="5258"/>
      <c r="H77" s="5260"/>
      <c r="I77" s="5262"/>
      <c r="J77" s="5265"/>
      <c r="K77" s="5256"/>
      <c r="L77" s="5256"/>
      <c r="M77" s="5256"/>
      <c r="N77" s="5254"/>
      <c r="O77" s="5256"/>
      <c r="P77" s="1853"/>
      <c r="Q77" s="1855"/>
      <c r="R77" s="1855"/>
      <c r="S77" s="266"/>
      <c r="T77" s="266"/>
      <c r="U77" s="266"/>
      <c r="V77" s="266"/>
      <c r="W77" s="1856"/>
      <c r="X77" s="1192"/>
      <c r="Y77" s="1192"/>
      <c r="Z77" s="1192"/>
      <c r="AA77" s="1192"/>
      <c r="AB77" s="1192"/>
      <c r="AC77" s="1192"/>
      <c r="AD77" s="1192"/>
      <c r="AE77" s="1192"/>
      <c r="AF77" s="1192"/>
      <c r="AG77" s="1192"/>
      <c r="AH77" s="1192"/>
      <c r="AI77" s="1192"/>
      <c r="AJ77" s="1192"/>
      <c r="AK77" s="1192"/>
      <c r="AL77" s="1192"/>
      <c r="AM77" s="1192"/>
      <c r="AN77" s="1192"/>
      <c r="AO77" s="1192"/>
      <c r="AP77" s="1192"/>
      <c r="AQ77" s="1192"/>
      <c r="AR77" s="1393">
        <v>0</v>
      </c>
    </row>
    <row r="78" spans="1:44" s="1777" customFormat="1" ht="17.25" customHeight="1">
      <c r="A78" s="258"/>
      <c r="C78" s="147"/>
      <c r="D78" s="5269"/>
      <c r="E78" s="5258"/>
      <c r="F78" s="5271"/>
      <c r="G78" s="5258"/>
      <c r="H78" s="5260"/>
      <c r="I78" s="5262"/>
      <c r="J78" s="5265"/>
      <c r="K78" s="5256"/>
      <c r="L78" s="1855"/>
      <c r="M78" s="1855"/>
      <c r="N78" s="1855"/>
      <c r="O78" s="1855"/>
      <c r="P78" s="1855"/>
      <c r="Q78" s="1855"/>
      <c r="R78" s="1855"/>
      <c r="S78" s="266"/>
      <c r="T78" s="266"/>
      <c r="U78" s="266"/>
      <c r="V78" s="266"/>
      <c r="W78" s="1856"/>
      <c r="Y78" s="1193"/>
      <c r="Z78" s="1193"/>
      <c r="AA78" s="1193"/>
      <c r="AB78" s="1193"/>
      <c r="AC78" s="1193"/>
      <c r="AD78" s="1193"/>
      <c r="AE78" s="1193"/>
      <c r="AF78" s="1193"/>
      <c r="AG78" s="1193"/>
      <c r="AH78" s="1193"/>
      <c r="AI78" s="1193"/>
      <c r="AJ78" s="1193"/>
      <c r="AK78" s="1193"/>
      <c r="AL78" s="1193"/>
      <c r="AM78" s="1193"/>
      <c r="AN78" s="1193"/>
      <c r="AO78" s="1193"/>
      <c r="AP78" s="1193"/>
      <c r="AQ78" s="1193"/>
      <c r="AR78" s="1393">
        <v>0</v>
      </c>
    </row>
    <row r="79" spans="1:44" s="1777" customFormat="1" ht="17.25" customHeight="1">
      <c r="A79" s="258"/>
      <c r="C79" s="257"/>
      <c r="D79" s="5269"/>
      <c r="E79" s="5258"/>
      <c r="F79" s="5272"/>
      <c r="G79" s="5258"/>
      <c r="H79" s="1225"/>
      <c r="I79" s="1857"/>
      <c r="J79" s="1857"/>
      <c r="K79" s="1857"/>
      <c r="L79" s="1857"/>
      <c r="M79" s="1857"/>
      <c r="N79" s="1857"/>
      <c r="O79" s="1857"/>
      <c r="P79" s="1857"/>
      <c r="Q79" s="1857"/>
      <c r="R79" s="1857"/>
      <c r="S79" s="1227"/>
      <c r="T79" s="1227"/>
      <c r="U79" s="1227"/>
      <c r="V79" s="1227"/>
      <c r="W79" s="1858"/>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393">
        <v>0</v>
      </c>
    </row>
    <row r="80" spans="1:44" ht="11.25" customHeight="1">
      <c r="AR80" s="44">
        <v>0</v>
      </c>
    </row>
    <row r="81" spans="1:44" ht="11.25" customHeight="1">
      <c r="E81" s="5275" t="s">
        <v>243</v>
      </c>
      <c r="F81" s="5275"/>
      <c r="G81" s="5275"/>
      <c r="H81" s="5275"/>
      <c r="I81" s="5275"/>
      <c r="J81" s="5275"/>
      <c r="K81" s="5275"/>
      <c r="L81" s="5275"/>
      <c r="M81" s="5275"/>
      <c r="N81" s="5275"/>
      <c r="O81" s="5275"/>
      <c r="P81" s="5275"/>
      <c r="Q81" s="5275"/>
      <c r="R81" s="5275"/>
      <c r="S81" s="5275"/>
      <c r="T81" s="5275"/>
      <c r="U81" s="5275"/>
      <c r="V81" s="5275"/>
      <c r="W81" s="5275"/>
      <c r="AR81" s="44">
        <v>0</v>
      </c>
    </row>
    <row r="82" spans="1:44" ht="36.75" customHeight="1">
      <c r="E82" s="5273" t="s">
        <v>244</v>
      </c>
      <c r="F82" s="5273"/>
      <c r="G82" s="5274"/>
      <c r="H82" s="5274"/>
      <c r="I82" s="5274"/>
      <c r="J82" s="5274"/>
      <c r="K82" s="5274"/>
      <c r="L82" s="5274"/>
      <c r="M82" s="5274"/>
      <c r="N82" s="5274"/>
      <c r="O82" s="5274"/>
      <c r="P82" s="5274"/>
      <c r="Q82" s="5274"/>
      <c r="R82" s="5274"/>
      <c r="S82" s="5274"/>
      <c r="T82" s="5274"/>
      <c r="U82" s="5274"/>
      <c r="V82" s="5274"/>
      <c r="W82" s="5274"/>
      <c r="AR82" s="44">
        <v>0</v>
      </c>
    </row>
    <row r="83" spans="1:44" ht="28.5" customHeight="1">
      <c r="E83" s="5273" t="s">
        <v>245</v>
      </c>
      <c r="F83" s="5273"/>
      <c r="G83" s="5274"/>
      <c r="H83" s="5274"/>
      <c r="I83" s="5274"/>
      <c r="J83" s="5274"/>
      <c r="K83" s="5274"/>
      <c r="L83" s="5274"/>
      <c r="M83" s="5274"/>
      <c r="N83" s="5274"/>
      <c r="O83" s="5274"/>
      <c r="P83" s="5274"/>
      <c r="Q83" s="5274"/>
      <c r="R83" s="5274"/>
      <c r="S83" s="5274"/>
      <c r="T83" s="5274"/>
      <c r="U83" s="5274"/>
      <c r="V83" s="5274"/>
      <c r="W83" s="5274"/>
      <c r="AR83" s="44">
        <v>0</v>
      </c>
    </row>
    <row r="84" spans="1:44" ht="27" customHeight="1">
      <c r="E84" s="5273" t="s">
        <v>246</v>
      </c>
      <c r="F84" s="5273"/>
      <c r="G84" s="5274"/>
      <c r="H84" s="5274"/>
      <c r="I84" s="5274"/>
      <c r="J84" s="5274"/>
      <c r="K84" s="5274"/>
      <c r="L84" s="5274"/>
      <c r="M84" s="5274"/>
      <c r="N84" s="5274"/>
      <c r="O84" s="5274"/>
      <c r="P84" s="5274"/>
      <c r="Q84" s="5274"/>
      <c r="R84" s="5274"/>
      <c r="S84" s="5274"/>
      <c r="T84" s="5274"/>
      <c r="U84" s="5274"/>
      <c r="V84" s="5274"/>
      <c r="W84" s="5274"/>
      <c r="AR84" s="44">
        <v>0</v>
      </c>
    </row>
    <row r="85" spans="1:44" ht="17.25" customHeight="1">
      <c r="E85" s="5273" t="s">
        <v>247</v>
      </c>
      <c r="F85" s="5273"/>
      <c r="G85" s="5274"/>
      <c r="H85" s="5274"/>
      <c r="I85" s="5274"/>
      <c r="J85" s="5274"/>
      <c r="K85" s="5274"/>
      <c r="L85" s="5274"/>
      <c r="M85" s="5274"/>
      <c r="N85" s="5274"/>
      <c r="O85" s="5274"/>
      <c r="P85" s="5274"/>
      <c r="Q85" s="5274"/>
      <c r="R85" s="5274"/>
      <c r="S85" s="5274"/>
      <c r="T85" s="5274"/>
      <c r="U85" s="5274"/>
      <c r="V85" s="5274"/>
      <c r="W85" s="5274"/>
      <c r="AR85" s="44">
        <v>0</v>
      </c>
    </row>
    <row r="86" spans="1:44" ht="15" customHeight="1">
      <c r="E86" s="277"/>
      <c r="F86" s="1211"/>
      <c r="G86" s="95"/>
      <c r="H86" s="95"/>
      <c r="I86" s="95"/>
      <c r="J86" s="95"/>
      <c r="K86" s="95"/>
      <c r="L86" s="95"/>
      <c r="M86" s="95"/>
      <c r="N86" s="95"/>
      <c r="O86" s="95"/>
      <c r="P86" s="95"/>
      <c r="Q86" s="95"/>
      <c r="R86" s="95"/>
      <c r="S86" s="95"/>
      <c r="T86" s="95"/>
      <c r="U86" s="95"/>
      <c r="V86" s="95"/>
      <c r="W86" s="95"/>
      <c r="AR86" s="44">
        <v>0</v>
      </c>
    </row>
    <row r="87" spans="1:44" ht="15" customHeight="1">
      <c r="E87" s="5275" t="s">
        <v>248</v>
      </c>
      <c r="F87" s="5275"/>
      <c r="G87" s="5275"/>
      <c r="H87" s="5275"/>
      <c r="I87" s="5275"/>
      <c r="J87" s="5275"/>
      <c r="K87" s="5275"/>
      <c r="L87" s="5275"/>
      <c r="M87" s="5275"/>
      <c r="N87" s="5275"/>
      <c r="O87" s="5275"/>
      <c r="P87" s="5275"/>
      <c r="Q87" s="5275"/>
      <c r="R87" s="5275"/>
      <c r="S87" s="5275"/>
      <c r="T87" s="5275"/>
      <c r="U87" s="5275"/>
      <c r="V87" s="5275"/>
      <c r="W87" s="5275"/>
      <c r="AR87" s="44">
        <v>0</v>
      </c>
    </row>
    <row r="88" spans="1:44" ht="17.25" customHeight="1">
      <c r="E88" s="5273" t="s">
        <v>249</v>
      </c>
      <c r="F88" s="5273"/>
      <c r="G88" s="5274"/>
      <c r="H88" s="5274"/>
      <c r="I88" s="5274"/>
      <c r="J88" s="5274"/>
      <c r="K88" s="5274"/>
      <c r="L88" s="5274"/>
      <c r="M88" s="5274"/>
      <c r="N88" s="5274"/>
      <c r="O88" s="5274"/>
      <c r="P88" s="5274"/>
      <c r="Q88" s="5274"/>
      <c r="R88" s="5274"/>
      <c r="S88" s="5274"/>
      <c r="T88" s="5274"/>
      <c r="U88" s="5274"/>
      <c r="V88" s="5274"/>
      <c r="W88" s="5274"/>
      <c r="AR88" s="44">
        <v>0</v>
      </c>
    </row>
    <row r="89" spans="1:44" ht="17.25" customHeight="1">
      <c r="E89" s="5273" t="s">
        <v>250</v>
      </c>
      <c r="F89" s="5273"/>
      <c r="G89" s="5274"/>
      <c r="H89" s="5274"/>
      <c r="I89" s="5274"/>
      <c r="J89" s="5274"/>
      <c r="K89" s="5274"/>
      <c r="L89" s="5274"/>
      <c r="M89" s="5274"/>
      <c r="N89" s="5274"/>
      <c r="O89" s="5274"/>
      <c r="P89" s="5274"/>
      <c r="Q89" s="5274"/>
      <c r="R89" s="5274"/>
      <c r="S89" s="5274"/>
      <c r="T89" s="5274"/>
      <c r="U89" s="5274"/>
      <c r="V89" s="5274"/>
      <c r="W89" s="5274"/>
      <c r="AR89" s="44">
        <v>0</v>
      </c>
    </row>
    <row r="90" spans="1:44" s="1777" customFormat="1" ht="11.25" hidden="1" customHeight="1">
      <c r="A90" s="214"/>
      <c r="B90" s="214"/>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147"/>
      <c r="D91" s="5268">
        <v>1</v>
      </c>
      <c r="E91" s="5257" t="s">
        <v>251</v>
      </c>
      <c r="F91" s="5270" t="s">
        <v>19</v>
      </c>
      <c r="G91" s="5257"/>
      <c r="H91" s="5259"/>
      <c r="I91" s="5261"/>
      <c r="J91" s="5263"/>
      <c r="K91" s="5255"/>
      <c r="L91" s="5255"/>
      <c r="M91" s="5255"/>
      <c r="N91" s="5266"/>
      <c r="O91" s="5255"/>
      <c r="P91" s="5255"/>
      <c r="Q91" s="5255"/>
      <c r="R91" s="5253"/>
      <c r="S91" s="5255"/>
      <c r="T91" s="1396"/>
      <c r="U91" s="1396"/>
      <c r="V91" s="1398"/>
      <c r="W91" s="1222"/>
      <c r="Y91" s="1193"/>
      <c r="Z91" s="1193"/>
      <c r="AA91" s="1193"/>
      <c r="AB91" s="1193"/>
      <c r="AC91" s="1193" t="s">
        <v>252</v>
      </c>
      <c r="AD91" s="1193" t="s">
        <v>253</v>
      </c>
      <c r="AE91" s="1193" t="s">
        <v>254</v>
      </c>
      <c r="AF91" s="1193" t="s">
        <v>255</v>
      </c>
      <c r="AG91" s="1193"/>
      <c r="AH91" s="1193" t="str">
        <f>IF($E$91=0,"",$E$91)</f>
        <v>Тариф на питьевую воду (питьевое водоснабжение)</v>
      </c>
      <c r="AI91" s="1193" t="str">
        <f>IF($G$91=0,"",$G$91)</f>
        <v/>
      </c>
      <c r="AJ91" s="1193" t="str">
        <f>IF($J$91=0,"",$J$91)</f>
        <v/>
      </c>
      <c r="AK91" s="1193" t="str">
        <f>IF($K$91="нет","без дифференциации",IF($N$91=0,"",$N$91))</f>
        <v/>
      </c>
      <c r="AL91" s="1193" t="str">
        <f>IF($O$91="нет","без дифференциации",IF($R$91=0,"",$R$91))</f>
        <v/>
      </c>
      <c r="AM91" s="1193" t="str">
        <f>IF($S$91="нет","без дифференциации",IF($V$91=0,"",$V$91))</f>
        <v/>
      </c>
      <c r="AN91" s="1193">
        <f>$I$91</f>
        <v>0</v>
      </c>
      <c r="AO91" s="1193" t="str">
        <f>$I$91&amp;"."&amp;$M$91</f>
        <v>.</v>
      </c>
      <c r="AP91" s="1193" t="str">
        <f>$I$91&amp;"."&amp;$M$91&amp;"."&amp;$Q$91</f>
        <v>..</v>
      </c>
      <c r="AQ91" s="1193" t="str">
        <f>$I$91&amp;"."&amp;$M$91&amp;"."&amp;$Q$91&amp;"."&amp;$U$91</f>
        <v>...</v>
      </c>
      <c r="AR91" s="1276">
        <v>0</v>
      </c>
    </row>
    <row r="92" spans="1:44" s="1777" customFormat="1" ht="17.25" hidden="1" customHeight="1">
      <c r="A92" s="258"/>
      <c r="C92" s="257"/>
      <c r="D92" s="5268"/>
      <c r="E92" s="5257"/>
      <c r="F92" s="5271"/>
      <c r="G92" s="5257"/>
      <c r="H92" s="5260"/>
      <c r="I92" s="5262"/>
      <c r="J92" s="5264"/>
      <c r="K92" s="5256"/>
      <c r="L92" s="5256"/>
      <c r="M92" s="5256"/>
      <c r="N92" s="5267"/>
      <c r="O92" s="5256"/>
      <c r="P92" s="5256"/>
      <c r="Q92" s="5256"/>
      <c r="R92" s="5254"/>
      <c r="S92" s="5256"/>
      <c r="T92" s="1223"/>
      <c r="U92" s="1223"/>
      <c r="V92" s="1223"/>
      <c r="W92" s="1224"/>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147"/>
      <c r="D93" s="5268"/>
      <c r="E93" s="5257"/>
      <c r="F93" s="5271"/>
      <c r="G93" s="5257"/>
      <c r="H93" s="5260"/>
      <c r="I93" s="5262"/>
      <c r="J93" s="5265"/>
      <c r="K93" s="5256"/>
      <c r="L93" s="5256"/>
      <c r="M93" s="5256"/>
      <c r="N93" s="5254"/>
      <c r="O93" s="5256"/>
      <c r="P93" s="1397"/>
      <c r="Q93" s="1223"/>
      <c r="R93" s="1223"/>
      <c r="S93" s="266"/>
      <c r="T93" s="266"/>
      <c r="U93" s="266"/>
      <c r="V93" s="266"/>
      <c r="W93" s="1224"/>
      <c r="Y93" s="1193"/>
      <c r="Z93" s="1193"/>
      <c r="AA93" s="1193"/>
      <c r="AB93" s="1193"/>
      <c r="AC93" s="1193"/>
      <c r="AD93" s="1193"/>
      <c r="AE93" s="1193"/>
      <c r="AF93" s="1193"/>
      <c r="AG93" s="1193"/>
      <c r="AH93" s="1193"/>
      <c r="AI93" s="1193"/>
      <c r="AJ93" s="1193"/>
      <c r="AK93" s="1193"/>
      <c r="AL93" s="1193"/>
      <c r="AM93" s="1193"/>
      <c r="AN93" s="1193"/>
      <c r="AO93" s="1193"/>
      <c r="AP93" s="1193"/>
      <c r="AQ93" s="1193"/>
      <c r="AR93" s="1367">
        <v>0</v>
      </c>
    </row>
    <row r="94" spans="1:44" s="1777" customFormat="1" ht="17.25" hidden="1" customHeight="1">
      <c r="A94" s="258"/>
      <c r="C94" s="257"/>
      <c r="D94" s="5268"/>
      <c r="E94" s="5257"/>
      <c r="F94" s="5271"/>
      <c r="G94" s="5257"/>
      <c r="H94" s="5260"/>
      <c r="I94" s="5262"/>
      <c r="J94" s="5265"/>
      <c r="K94" s="5256"/>
      <c r="L94" s="1223"/>
      <c r="M94" s="1223"/>
      <c r="N94" s="1223"/>
      <c r="O94" s="1223"/>
      <c r="P94" s="1223"/>
      <c r="Q94" s="1223"/>
      <c r="R94" s="1223"/>
      <c r="S94" s="266"/>
      <c r="T94" s="266"/>
      <c r="U94" s="266"/>
      <c r="V94" s="266"/>
      <c r="W94" s="1224"/>
      <c r="Y94" s="1185"/>
      <c r="Z94" s="1185"/>
      <c r="AA94" s="1185"/>
      <c r="AB94" s="1185"/>
      <c r="AC94" s="1185"/>
      <c r="AD94" s="1185"/>
      <c r="AE94" s="1185"/>
      <c r="AF94" s="1185"/>
      <c r="AG94" s="1185"/>
      <c r="AH94" s="1185"/>
      <c r="AI94" s="1185"/>
      <c r="AJ94" s="1185"/>
      <c r="AK94" s="1185"/>
      <c r="AL94" s="1185"/>
      <c r="AM94" s="1185"/>
      <c r="AN94" s="1185"/>
      <c r="AO94" s="1185"/>
      <c r="AP94" s="1185"/>
      <c r="AQ94" s="1185"/>
      <c r="AR94" s="1367">
        <v>0</v>
      </c>
    </row>
    <row r="95" spans="1:44" s="1777" customFormat="1" ht="17.25" hidden="1" customHeight="1">
      <c r="A95" s="258"/>
      <c r="C95" s="257"/>
      <c r="D95" s="5269"/>
      <c r="E95" s="5258"/>
      <c r="F95" s="5272"/>
      <c r="G95" s="5258"/>
      <c r="H95" s="1225"/>
      <c r="I95" s="1226"/>
      <c r="J95" s="1226"/>
      <c r="K95" s="1226"/>
      <c r="L95" s="1226"/>
      <c r="M95" s="1226"/>
      <c r="N95" s="1226"/>
      <c r="O95" s="1226"/>
      <c r="P95" s="1226"/>
      <c r="Q95" s="1226"/>
      <c r="R95" s="1226"/>
      <c r="S95" s="1227"/>
      <c r="T95" s="1227"/>
      <c r="U95" s="1227"/>
      <c r="V95" s="1227"/>
      <c r="W95" s="1228"/>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147"/>
      <c r="D96" s="5268">
        <v>2</v>
      </c>
      <c r="E96" s="5257" t="s">
        <v>256</v>
      </c>
      <c r="F96" s="5270" t="s">
        <v>19</v>
      </c>
      <c r="G96" s="5257"/>
      <c r="H96" s="5259"/>
      <c r="I96" s="5261"/>
      <c r="J96" s="5263"/>
      <c r="K96" s="5255"/>
      <c r="L96" s="5255"/>
      <c r="M96" s="5255"/>
      <c r="N96" s="5266"/>
      <c r="O96" s="5255"/>
      <c r="P96" s="5255"/>
      <c r="Q96" s="5255"/>
      <c r="R96" s="5253"/>
      <c r="S96" s="5255"/>
      <c r="T96" s="1369"/>
      <c r="U96" s="1369"/>
      <c r="V96" s="1371"/>
      <c r="W96" s="1222"/>
      <c r="X96" s="1193"/>
      <c r="Y96" s="1193"/>
      <c r="Z96" s="1193"/>
      <c r="AA96" s="1193"/>
      <c r="AB96" s="1193"/>
      <c r="AC96" s="1193" t="s">
        <v>257</v>
      </c>
      <c r="AD96" s="1193" t="s">
        <v>258</v>
      </c>
      <c r="AE96" s="1193" t="s">
        <v>259</v>
      </c>
      <c r="AF96" s="1193" t="s">
        <v>260</v>
      </c>
      <c r="AG96" s="1193"/>
      <c r="AH96" s="1193" t="str">
        <f>IF($E$96=0,"",$E$96)</f>
        <v>Тариф на техническую воду</v>
      </c>
      <c r="AI96" s="1193" t="str">
        <f>IF($G$96=0,"",$G$96)</f>
        <v/>
      </c>
      <c r="AJ96" s="1193" t="str">
        <f>IF($J$96=0,"",$J$96)</f>
        <v/>
      </c>
      <c r="AK96" s="1193" t="str">
        <f>IF($K$96="нет","без дифференциации",IF($N$96=0,"",$N$96))</f>
        <v/>
      </c>
      <c r="AL96" s="1193" t="str">
        <f>IF($O$96="нет","без дифференциации",IF($R$96=0,"",$R$96))</f>
        <v/>
      </c>
      <c r="AM96" s="1193" t="str">
        <f>IF($S$96="нет","без дифференциации",IF($V$96=0,"",$V$96))</f>
        <v/>
      </c>
      <c r="AN96" s="1697">
        <f>$I$96</f>
        <v>0</v>
      </c>
      <c r="AO96" s="1193" t="str">
        <f>$I$96&amp;"."&amp;$M$96</f>
        <v>.</v>
      </c>
      <c r="AP96" s="1185" t="str">
        <f>$I$96&amp;"."&amp;$M$96&amp;"."&amp;$Q$96</f>
        <v>..</v>
      </c>
      <c r="AQ96" s="1185" t="str">
        <f>$I$96&amp;"."&amp;$M$96&amp;"."&amp;$Q$96&amp;"."&amp;$U$96</f>
        <v>...</v>
      </c>
      <c r="AR96" s="1276">
        <v>0</v>
      </c>
    </row>
    <row r="97" spans="1:44" s="1777" customFormat="1" ht="17.25" hidden="1" customHeight="1">
      <c r="A97" s="258"/>
      <c r="C97" s="257"/>
      <c r="D97" s="5268"/>
      <c r="E97" s="5257"/>
      <c r="F97" s="5271"/>
      <c r="G97" s="5257"/>
      <c r="H97" s="5260"/>
      <c r="I97" s="5262"/>
      <c r="J97" s="5264"/>
      <c r="K97" s="5256"/>
      <c r="L97" s="5256"/>
      <c r="M97" s="5256"/>
      <c r="N97" s="5267"/>
      <c r="O97" s="5256"/>
      <c r="P97" s="5256"/>
      <c r="Q97" s="5256"/>
      <c r="R97" s="5254"/>
      <c r="S97" s="5256"/>
      <c r="T97" s="1223"/>
      <c r="U97" s="1223"/>
      <c r="V97" s="1223"/>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5269"/>
      <c r="E98" s="5258"/>
      <c r="F98" s="5271"/>
      <c r="G98" s="5258"/>
      <c r="H98" s="5260"/>
      <c r="I98" s="5262"/>
      <c r="J98" s="5265"/>
      <c r="K98" s="5256"/>
      <c r="L98" s="5256"/>
      <c r="M98" s="5256"/>
      <c r="N98" s="5254"/>
      <c r="O98" s="5256"/>
      <c r="P98" s="1370"/>
      <c r="Q98" s="1223"/>
      <c r="R98" s="1223"/>
      <c r="S98" s="266"/>
      <c r="T98" s="266"/>
      <c r="U98" s="266"/>
      <c r="V98" s="266"/>
      <c r="W98" s="1224"/>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257"/>
      <c r="D99" s="5269"/>
      <c r="E99" s="5258"/>
      <c r="F99" s="5271"/>
      <c r="G99" s="5258"/>
      <c r="H99" s="5260"/>
      <c r="I99" s="5262"/>
      <c r="J99" s="5265"/>
      <c r="K99" s="5256"/>
      <c r="L99" s="1223"/>
      <c r="M99" s="1223"/>
      <c r="N99" s="1223"/>
      <c r="O99" s="1223"/>
      <c r="P99" s="1223"/>
      <c r="Q99" s="1223"/>
      <c r="R99" s="1223"/>
      <c r="S99" s="266"/>
      <c r="T99" s="266"/>
      <c r="U99" s="266"/>
      <c r="V99" s="266"/>
      <c r="W99" s="1224"/>
      <c r="X99" s="1185"/>
      <c r="Y99" s="1185"/>
      <c r="Z99" s="1185"/>
      <c r="AA99" s="1185"/>
      <c r="AB99" s="1185"/>
      <c r="AC99" s="1185"/>
      <c r="AD99" s="1185"/>
      <c r="AE99" s="1185"/>
      <c r="AF99" s="1185"/>
      <c r="AG99" s="1185"/>
      <c r="AH99" s="1185"/>
      <c r="AI99" s="1185"/>
      <c r="AJ99" s="1185"/>
      <c r="AK99" s="1185"/>
      <c r="AL99" s="1185"/>
      <c r="AM99" s="1185"/>
      <c r="AN99" s="1185"/>
      <c r="AO99" s="1185"/>
      <c r="AP99" s="1185"/>
      <c r="AQ99" s="1185"/>
      <c r="AR99" s="1276">
        <v>0</v>
      </c>
    </row>
    <row r="100" spans="1:44" s="1777" customFormat="1" ht="17.25" hidden="1" customHeight="1">
      <c r="A100" s="258"/>
      <c r="C100" s="257"/>
      <c r="D100" s="5269"/>
      <c r="E100" s="5258"/>
      <c r="F100" s="5272"/>
      <c r="G100" s="5258"/>
      <c r="H100" s="1225"/>
      <c r="I100" s="1226"/>
      <c r="J100" s="1226"/>
      <c r="K100" s="1226"/>
      <c r="L100" s="1226"/>
      <c r="M100" s="1226"/>
      <c r="N100" s="1226"/>
      <c r="O100" s="1226"/>
      <c r="P100" s="1226"/>
      <c r="Q100" s="1226"/>
      <c r="R100" s="1226"/>
      <c r="S100" s="1227"/>
      <c r="T100" s="1227"/>
      <c r="U100" s="1227"/>
      <c r="V100" s="1227"/>
      <c r="W100" s="1228"/>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276">
        <v>0</v>
      </c>
    </row>
    <row r="101" spans="1:44" s="1777" customFormat="1" ht="17.25" hidden="1" customHeight="1">
      <c r="A101" s="258"/>
      <c r="C101" s="147"/>
      <c r="D101" s="5268">
        <v>3</v>
      </c>
      <c r="E101" s="5257" t="s">
        <v>261</v>
      </c>
      <c r="F101" s="5270" t="s">
        <v>19</v>
      </c>
      <c r="G101" s="5257"/>
      <c r="H101" s="5259"/>
      <c r="I101" s="5261"/>
      <c r="J101" s="5263"/>
      <c r="K101" s="5255"/>
      <c r="L101" s="5255"/>
      <c r="M101" s="5255"/>
      <c r="N101" s="5266"/>
      <c r="O101" s="5255"/>
      <c r="P101" s="5255"/>
      <c r="Q101" s="5255"/>
      <c r="R101" s="5253"/>
      <c r="S101" s="5255"/>
      <c r="T101" s="1369"/>
      <c r="U101" s="1369"/>
      <c r="V101" s="1371"/>
      <c r="W101" s="1222"/>
      <c r="X101" s="1193"/>
      <c r="Y101" s="1193"/>
      <c r="Z101" s="1193"/>
      <c r="AA101" s="1193"/>
      <c r="AB101" s="1193"/>
      <c r="AC101" s="1193" t="s">
        <v>262</v>
      </c>
      <c r="AD101" s="1193" t="s">
        <v>263</v>
      </c>
      <c r="AE101" s="1193" t="s">
        <v>264</v>
      </c>
      <c r="AF101" s="1193" t="s">
        <v>265</v>
      </c>
      <c r="AG101" s="1193"/>
      <c r="AH101" s="1193" t="str">
        <f>IF($E$101=0,"",$E$101)</f>
        <v>Тариф на транспортировку воды</v>
      </c>
      <c r="AI101" s="1193" t="str">
        <f>IF($G$101=0,"",$G$101)</f>
        <v/>
      </c>
      <c r="AJ101" s="1193" t="str">
        <f>IF($J$101=0,"",$J$101)</f>
        <v/>
      </c>
      <c r="AK101" s="1193" t="str">
        <f>IF($K$101="нет","без дифференциации",IF($N$101=0,"",$N$101))</f>
        <v/>
      </c>
      <c r="AL101" s="1193" t="str">
        <f>IF($O$101="нет","без дифференциации",IF($R$101=0,"",$R$101))</f>
        <v/>
      </c>
      <c r="AM101" s="1193" t="str">
        <f>IF($S$101="нет","без дифференциации",IF($V$101=0,"",$V$101))</f>
        <v/>
      </c>
      <c r="AN101" s="1697">
        <f>$I$101</f>
        <v>0</v>
      </c>
      <c r="AO101" s="1193" t="str">
        <f>$I$101&amp;"."&amp;$M$101</f>
        <v>.</v>
      </c>
      <c r="AP101" s="1185" t="str">
        <f>$I$101&amp;"."&amp;$M$101&amp;"."&amp;$Q$101</f>
        <v>..</v>
      </c>
      <c r="AQ101" s="1185" t="str">
        <f>$I$101&amp;"."&amp;$M$101&amp;"."&amp;$Q$101&amp;"."&amp;$U$101</f>
        <v>...</v>
      </c>
      <c r="AR101" s="1276">
        <v>0</v>
      </c>
    </row>
    <row r="102" spans="1:44" s="1777" customFormat="1" ht="17.25" hidden="1" customHeight="1">
      <c r="A102" s="258"/>
      <c r="C102" s="257"/>
      <c r="D102" s="5268"/>
      <c r="E102" s="5257"/>
      <c r="F102" s="5271"/>
      <c r="G102" s="5257"/>
      <c r="H102" s="5260"/>
      <c r="I102" s="5262"/>
      <c r="J102" s="5264"/>
      <c r="K102" s="5256"/>
      <c r="L102" s="5256"/>
      <c r="M102" s="5256"/>
      <c r="N102" s="5267"/>
      <c r="O102" s="5256"/>
      <c r="P102" s="5256"/>
      <c r="Q102" s="5256"/>
      <c r="R102" s="5254"/>
      <c r="S102" s="5256"/>
      <c r="T102" s="1223"/>
      <c r="U102" s="1223"/>
      <c r="V102" s="1223"/>
      <c r="W102" s="1224"/>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276">
        <v>0</v>
      </c>
    </row>
    <row r="103" spans="1:44" s="1777" customFormat="1" ht="17.25" hidden="1" customHeight="1">
      <c r="A103" s="258"/>
      <c r="C103" s="257"/>
      <c r="D103" s="5269"/>
      <c r="E103" s="5258"/>
      <c r="F103" s="5271"/>
      <c r="G103" s="5258"/>
      <c r="H103" s="5260"/>
      <c r="I103" s="5262"/>
      <c r="J103" s="5265"/>
      <c r="K103" s="5256"/>
      <c r="L103" s="5256"/>
      <c r="M103" s="5256"/>
      <c r="N103" s="5254"/>
      <c r="O103" s="5256"/>
      <c r="P103" s="1370"/>
      <c r="Q103" s="1223"/>
      <c r="R103" s="1223"/>
      <c r="S103" s="266"/>
      <c r="T103" s="266"/>
      <c r="U103" s="266"/>
      <c r="V103" s="266"/>
      <c r="W103" s="1224"/>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276">
        <v>0</v>
      </c>
    </row>
    <row r="104" spans="1:44" s="1777" customFormat="1" ht="17.25" hidden="1" customHeight="1">
      <c r="A104" s="258"/>
      <c r="C104" s="257"/>
      <c r="D104" s="5269"/>
      <c r="E104" s="5258"/>
      <c r="F104" s="5271"/>
      <c r="G104" s="5258"/>
      <c r="H104" s="5260"/>
      <c r="I104" s="5262"/>
      <c r="J104" s="5265"/>
      <c r="K104" s="5256"/>
      <c r="L104" s="1223"/>
      <c r="M104" s="1223"/>
      <c r="N104" s="1223"/>
      <c r="O104" s="1223"/>
      <c r="P104" s="1223"/>
      <c r="Q104" s="1223"/>
      <c r="R104" s="1223"/>
      <c r="S104" s="266"/>
      <c r="T104" s="266"/>
      <c r="U104" s="266"/>
      <c r="V104" s="266"/>
      <c r="W104" s="1224"/>
      <c r="X104" s="1185"/>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276">
        <v>0</v>
      </c>
    </row>
    <row r="105" spans="1:44" s="1777" customFormat="1" ht="17.25" hidden="1" customHeight="1">
      <c r="A105" s="258"/>
      <c r="C105" s="257"/>
      <c r="D105" s="5269"/>
      <c r="E105" s="5258"/>
      <c r="F105" s="5272"/>
      <c r="G105" s="5258"/>
      <c r="H105" s="1225"/>
      <c r="I105" s="1226"/>
      <c r="J105" s="1226"/>
      <c r="K105" s="1226"/>
      <c r="L105" s="1226"/>
      <c r="M105" s="1226"/>
      <c r="N105" s="1226"/>
      <c r="O105" s="1226"/>
      <c r="P105" s="1226"/>
      <c r="Q105" s="1226"/>
      <c r="R105" s="1226"/>
      <c r="S105" s="1227"/>
      <c r="T105" s="1227"/>
      <c r="U105" s="1227"/>
      <c r="V105" s="1227"/>
      <c r="W105" s="1228"/>
      <c r="X105" s="1185"/>
      <c r="Y105" s="1185"/>
      <c r="Z105" s="1185"/>
      <c r="AA105" s="1185"/>
      <c r="AB105" s="1185"/>
      <c r="AC105" s="1185"/>
      <c r="AD105" s="1185"/>
      <c r="AE105" s="1185"/>
      <c r="AF105" s="1185"/>
      <c r="AG105" s="1185"/>
      <c r="AH105" s="1185"/>
      <c r="AI105" s="1185"/>
      <c r="AJ105" s="1185"/>
      <c r="AK105" s="1185"/>
      <c r="AL105" s="1185"/>
      <c r="AM105" s="1185"/>
      <c r="AN105" s="1185"/>
      <c r="AO105" s="1185"/>
      <c r="AP105" s="1185"/>
      <c r="AQ105" s="1185"/>
      <c r="AR105" s="1276">
        <v>0</v>
      </c>
    </row>
    <row r="106" spans="1:44" s="1777" customFormat="1" ht="17.25" hidden="1" customHeight="1">
      <c r="A106" s="258"/>
      <c r="C106" s="147"/>
      <c r="D106" s="5268">
        <v>4</v>
      </c>
      <c r="E106" s="5257" t="s">
        <v>266</v>
      </c>
      <c r="F106" s="5270" t="s">
        <v>19</v>
      </c>
      <c r="G106" s="5257"/>
      <c r="H106" s="5259"/>
      <c r="I106" s="5261"/>
      <c r="J106" s="5263"/>
      <c r="K106" s="5255"/>
      <c r="L106" s="5255"/>
      <c r="M106" s="5255"/>
      <c r="N106" s="5266"/>
      <c r="O106" s="5255"/>
      <c r="P106" s="5255"/>
      <c r="Q106" s="5255"/>
      <c r="R106" s="5253"/>
      <c r="S106" s="5255"/>
      <c r="T106" s="1369"/>
      <c r="U106" s="1369"/>
      <c r="V106" s="1371"/>
      <c r="W106" s="1222"/>
      <c r="X106" s="1193"/>
      <c r="Y106" s="1193"/>
      <c r="Z106" s="1193"/>
      <c r="AA106" s="1193"/>
      <c r="AB106" s="1193"/>
      <c r="AC106" s="1193" t="s">
        <v>267</v>
      </c>
      <c r="AD106" s="1193" t="s">
        <v>268</v>
      </c>
      <c r="AE106" s="1193" t="s">
        <v>269</v>
      </c>
      <c r="AF106" s="1193" t="s">
        <v>270</v>
      </c>
      <c r="AG106" s="1193"/>
      <c r="AH106" s="1193" t="str">
        <f>IF($E$106=0,"",$E$106)</f>
        <v>Тариф на подвоз воды</v>
      </c>
      <c r="AI106" s="1193" t="str">
        <f>IF($G$106=0,"",$G$106)</f>
        <v/>
      </c>
      <c r="AJ106" s="1193" t="str">
        <f>IF($J$106=0,"",$J$106)</f>
        <v/>
      </c>
      <c r="AK106" s="1193" t="str">
        <f>IF($K$106="нет","без дифференциации",IF($N$106=0,"",$N$106))</f>
        <v/>
      </c>
      <c r="AL106" s="1193" t="str">
        <f>IF($O$106="нет","без дифференциации",IF($R$106=0,"",$R$106))</f>
        <v/>
      </c>
      <c r="AM106" s="1193" t="str">
        <f>IF($S$106="нет","без дифференциации",IF($V$106=0,"",$V$106))</f>
        <v/>
      </c>
      <c r="AN106" s="1697">
        <f>$I$106</f>
        <v>0</v>
      </c>
      <c r="AO106" s="1193" t="str">
        <f>$I$106&amp;"."&amp;$M$106</f>
        <v>.</v>
      </c>
      <c r="AP106" s="1185" t="str">
        <f>$I$106&amp;"."&amp;$M$106&amp;"."&amp;$Q$106</f>
        <v>..</v>
      </c>
      <c r="AQ106" s="1185" t="str">
        <f>$I$106&amp;"."&amp;$M$106&amp;"."&amp;$Q$106&amp;"."&amp;$U$106</f>
        <v>...</v>
      </c>
      <c r="AR106" s="1276">
        <v>0</v>
      </c>
    </row>
    <row r="107" spans="1:44" s="1777" customFormat="1" ht="17.25" hidden="1" customHeight="1">
      <c r="A107" s="258"/>
      <c r="C107" s="257"/>
      <c r="D107" s="5268"/>
      <c r="E107" s="5257"/>
      <c r="F107" s="5271"/>
      <c r="G107" s="5257"/>
      <c r="H107" s="5260"/>
      <c r="I107" s="5262"/>
      <c r="J107" s="5264"/>
      <c r="K107" s="5256"/>
      <c r="L107" s="5256"/>
      <c r="M107" s="5256"/>
      <c r="N107" s="5267"/>
      <c r="O107" s="5256"/>
      <c r="P107" s="5256"/>
      <c r="Q107" s="5256"/>
      <c r="R107" s="5254"/>
      <c r="S107" s="5256"/>
      <c r="T107" s="1223"/>
      <c r="U107" s="1223"/>
      <c r="V107" s="1223"/>
      <c r="W107" s="1224"/>
      <c r="X107" s="1185"/>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276">
        <v>0</v>
      </c>
    </row>
    <row r="108" spans="1:44" s="1777" customFormat="1" ht="17.25" hidden="1" customHeight="1">
      <c r="A108" s="258"/>
      <c r="C108" s="257"/>
      <c r="D108" s="5269"/>
      <c r="E108" s="5258"/>
      <c r="F108" s="5271"/>
      <c r="G108" s="5258"/>
      <c r="H108" s="5260"/>
      <c r="I108" s="5262"/>
      <c r="J108" s="5265"/>
      <c r="K108" s="5256"/>
      <c r="L108" s="5256"/>
      <c r="M108" s="5256"/>
      <c r="N108" s="5254"/>
      <c r="O108" s="5256"/>
      <c r="P108" s="1370"/>
      <c r="Q108" s="1223"/>
      <c r="R108" s="1223"/>
      <c r="S108" s="266"/>
      <c r="T108" s="266"/>
      <c r="U108" s="266"/>
      <c r="V108" s="266"/>
      <c r="W108" s="1224"/>
      <c r="X108" s="1185"/>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276">
        <v>0</v>
      </c>
    </row>
    <row r="109" spans="1:44" s="1777" customFormat="1" ht="17.25" hidden="1" customHeight="1">
      <c r="A109" s="258"/>
      <c r="C109" s="257"/>
      <c r="D109" s="5269"/>
      <c r="E109" s="5258"/>
      <c r="F109" s="5271"/>
      <c r="G109" s="5258"/>
      <c r="H109" s="5260"/>
      <c r="I109" s="5262"/>
      <c r="J109" s="5265"/>
      <c r="K109" s="5256"/>
      <c r="L109" s="1223"/>
      <c r="M109" s="1223"/>
      <c r="N109" s="1223"/>
      <c r="O109" s="1223"/>
      <c r="P109" s="1223"/>
      <c r="Q109" s="1223"/>
      <c r="R109" s="1223"/>
      <c r="S109" s="266"/>
      <c r="T109" s="266"/>
      <c r="U109" s="266"/>
      <c r="V109" s="266"/>
      <c r="W109" s="1224"/>
      <c r="X109" s="1185"/>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276">
        <v>0</v>
      </c>
    </row>
    <row r="110" spans="1:44" s="1777" customFormat="1" ht="17.25" hidden="1" customHeight="1">
      <c r="A110" s="258"/>
      <c r="C110" s="257"/>
      <c r="D110" s="5269"/>
      <c r="E110" s="5258"/>
      <c r="F110" s="5272"/>
      <c r="G110" s="5258"/>
      <c r="H110" s="1225"/>
      <c r="I110" s="1226"/>
      <c r="J110" s="1226"/>
      <c r="K110" s="1226"/>
      <c r="L110" s="1226"/>
      <c r="M110" s="1226"/>
      <c r="N110" s="1226"/>
      <c r="O110" s="1226"/>
      <c r="P110" s="1226"/>
      <c r="Q110" s="1226"/>
      <c r="R110" s="1226"/>
      <c r="S110" s="1227"/>
      <c r="T110" s="1227"/>
      <c r="U110" s="1227"/>
      <c r="V110" s="1227"/>
      <c r="W110" s="1228"/>
      <c r="X110" s="1185"/>
      <c r="Y110" s="1185"/>
      <c r="Z110" s="1185"/>
      <c r="AA110" s="1185"/>
      <c r="AB110" s="1185"/>
      <c r="AC110" s="1185"/>
      <c r="AD110" s="1185"/>
      <c r="AE110" s="1185"/>
      <c r="AF110" s="1185"/>
      <c r="AG110" s="1185"/>
      <c r="AH110" s="1185"/>
      <c r="AI110" s="1185"/>
      <c r="AJ110" s="1185"/>
      <c r="AK110" s="1185"/>
      <c r="AL110" s="1185"/>
      <c r="AM110" s="1185"/>
      <c r="AN110" s="1185"/>
      <c r="AO110" s="1185"/>
      <c r="AP110" s="1185"/>
      <c r="AQ110" s="1185"/>
      <c r="AR110" s="1276">
        <v>0</v>
      </c>
    </row>
    <row r="111" spans="1:44" s="1777" customFormat="1" ht="17.25" hidden="1" customHeight="1">
      <c r="A111" s="258"/>
      <c r="C111" s="147"/>
      <c r="D111" s="5268">
        <v>5</v>
      </c>
      <c r="E111" s="5257" t="s">
        <v>271</v>
      </c>
      <c r="F111" s="5270" t="s">
        <v>19</v>
      </c>
      <c r="G111" s="5257"/>
      <c r="H111" s="5259"/>
      <c r="I111" s="5261"/>
      <c r="J111" s="5263"/>
      <c r="K111" s="5255"/>
      <c r="L111" s="5255"/>
      <c r="M111" s="5255"/>
      <c r="N111" s="5266"/>
      <c r="O111" s="5255"/>
      <c r="P111" s="5255"/>
      <c r="Q111" s="5255"/>
      <c r="R111" s="5253"/>
      <c r="S111" s="5255"/>
      <c r="T111" s="1864"/>
      <c r="U111" s="1864"/>
      <c r="V111" s="1866"/>
      <c r="W111" s="1222"/>
      <c r="X111" s="1193"/>
      <c r="Y111" s="1193"/>
      <c r="Z111" s="1193"/>
      <c r="AA111" s="1193"/>
      <c r="AB111" s="1193"/>
      <c r="AC111" s="1193" t="s">
        <v>272</v>
      </c>
      <c r="AD111" s="1193" t="s">
        <v>273</v>
      </c>
      <c r="AE111" s="1193" t="s">
        <v>274</v>
      </c>
      <c r="AF111" s="1193" t="s">
        <v>275</v>
      </c>
      <c r="AG111" s="1193"/>
      <c r="AH111" s="1193" t="str">
        <f>IF($E$111=0,"",$E$111)</f>
        <v>Тариф на подключение (технологическое присоединение) к централизованной системе холодного водоснабжения</v>
      </c>
      <c r="AI111" s="1193" t="str">
        <f>IF($G$111=0,"",$G$111)</f>
        <v/>
      </c>
      <c r="AJ111" s="1193" t="str">
        <f>IF($J$111=0,"",$J$111)</f>
        <v/>
      </c>
      <c r="AK111" s="1193" t="str">
        <f>IF($K$111="нет","без дифференциации",IF($N$111=0,"",$N$111))</f>
        <v/>
      </c>
      <c r="AL111" s="1193" t="str">
        <f>IF($O$111="нет","без дифференциации",IF($R$111=0,"",$R$111))</f>
        <v/>
      </c>
      <c r="AM111" s="1193" t="str">
        <f>IF($S$111="нет","без дифференциации",IF($V$111=0,"",$V$111))</f>
        <v/>
      </c>
      <c r="AN111" s="1697">
        <f>$I$111</f>
        <v>0</v>
      </c>
      <c r="AO111" s="1193" t="str">
        <f>$I$111&amp;"."&amp;$M$111</f>
        <v>.</v>
      </c>
      <c r="AP111" s="1192" t="str">
        <f>$I$111&amp;"."&amp;$M$111&amp;"."&amp;$Q$111</f>
        <v>..</v>
      </c>
      <c r="AQ111" s="1192" t="str">
        <f>$I$111&amp;"."&amp;$M$111&amp;"."&amp;$Q$111&amp;"."&amp;$U$111</f>
        <v>...</v>
      </c>
      <c r="AR111" s="1393">
        <v>0</v>
      </c>
    </row>
    <row r="112" spans="1:44" s="1777" customFormat="1" ht="17.25" hidden="1" customHeight="1">
      <c r="A112" s="258"/>
      <c r="C112" s="257"/>
      <c r="D112" s="5268"/>
      <c r="E112" s="5257"/>
      <c r="F112" s="5271"/>
      <c r="G112" s="5257"/>
      <c r="H112" s="5260"/>
      <c r="I112" s="5262"/>
      <c r="J112" s="5264"/>
      <c r="K112" s="5256"/>
      <c r="L112" s="5256"/>
      <c r="M112" s="5256"/>
      <c r="N112" s="5267"/>
      <c r="O112" s="5256"/>
      <c r="P112" s="5256"/>
      <c r="Q112" s="5256"/>
      <c r="R112" s="5254"/>
      <c r="S112" s="5256"/>
      <c r="T112" s="1869"/>
      <c r="U112" s="1869"/>
      <c r="V112" s="1869"/>
      <c r="W112" s="1870"/>
      <c r="X112" s="1192"/>
      <c r="Y112" s="1192"/>
      <c r="Z112" s="1192"/>
      <c r="AA112" s="1192"/>
      <c r="AB112" s="1192"/>
      <c r="AC112" s="1192"/>
      <c r="AD112" s="1192"/>
      <c r="AE112" s="1192"/>
      <c r="AF112" s="1192"/>
      <c r="AG112" s="1192"/>
      <c r="AH112" s="1192"/>
      <c r="AI112" s="1192"/>
      <c r="AJ112" s="1192"/>
      <c r="AK112" s="1192"/>
      <c r="AL112" s="1192"/>
      <c r="AM112" s="1192"/>
      <c r="AN112" s="1192"/>
      <c r="AO112" s="1192"/>
      <c r="AP112" s="1192"/>
      <c r="AQ112" s="1192"/>
      <c r="AR112" s="1393">
        <v>0</v>
      </c>
    </row>
    <row r="113" spans="1:44" s="1777" customFormat="1" ht="17.25" hidden="1" customHeight="1">
      <c r="A113" s="258"/>
      <c r="C113" s="257"/>
      <c r="D113" s="5269"/>
      <c r="E113" s="5258"/>
      <c r="F113" s="5271"/>
      <c r="G113" s="5258"/>
      <c r="H113" s="5260"/>
      <c r="I113" s="5262"/>
      <c r="J113" s="5265"/>
      <c r="K113" s="5256"/>
      <c r="L113" s="5256"/>
      <c r="M113" s="5256"/>
      <c r="N113" s="5254"/>
      <c r="O113" s="5256"/>
      <c r="P113" s="1865"/>
      <c r="Q113" s="1869"/>
      <c r="R113" s="1869"/>
      <c r="S113" s="266"/>
      <c r="T113" s="266"/>
      <c r="U113" s="266"/>
      <c r="V113" s="266"/>
      <c r="W113" s="1870"/>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393">
        <v>0</v>
      </c>
    </row>
    <row r="114" spans="1:44" s="1777" customFormat="1" ht="17.25" hidden="1" customHeight="1">
      <c r="A114" s="258"/>
      <c r="C114" s="257"/>
      <c r="D114" s="5269"/>
      <c r="E114" s="5258"/>
      <c r="F114" s="5271"/>
      <c r="G114" s="5258"/>
      <c r="H114" s="5260"/>
      <c r="I114" s="5262"/>
      <c r="J114" s="5265"/>
      <c r="K114" s="5256"/>
      <c r="L114" s="1869"/>
      <c r="M114" s="1869"/>
      <c r="N114" s="1869"/>
      <c r="O114" s="1869"/>
      <c r="P114" s="1869"/>
      <c r="Q114" s="1869"/>
      <c r="R114" s="1869"/>
      <c r="S114" s="266"/>
      <c r="T114" s="266"/>
      <c r="U114" s="266"/>
      <c r="V114" s="266"/>
      <c r="W114" s="1870"/>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393">
        <v>0</v>
      </c>
    </row>
    <row r="115" spans="1:44" s="1777" customFormat="1" ht="17.25" hidden="1" customHeight="1">
      <c r="A115" s="258"/>
      <c r="C115" s="257"/>
      <c r="D115" s="5269"/>
      <c r="E115" s="5258"/>
      <c r="F115" s="5272"/>
      <c r="G115" s="5258"/>
      <c r="H115" s="1225"/>
      <c r="I115" s="1867"/>
      <c r="J115" s="1867"/>
      <c r="K115" s="1867"/>
      <c r="L115" s="1867"/>
      <c r="M115" s="1867"/>
      <c r="N115" s="1867"/>
      <c r="O115" s="1867"/>
      <c r="P115" s="1867"/>
      <c r="Q115" s="1867"/>
      <c r="R115" s="1867"/>
      <c r="S115" s="1227"/>
      <c r="T115" s="1227"/>
      <c r="U115" s="1227"/>
      <c r="V115" s="1227"/>
      <c r="W115" s="1868"/>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393">
        <v>0</v>
      </c>
    </row>
    <row r="116" spans="1:44" s="1777" customFormat="1" ht="11.25" hidden="1" customHeight="1">
      <c r="A116" s="214"/>
      <c r="B116" s="214"/>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93">
        <v>0</v>
      </c>
    </row>
    <row r="117" spans="1:44" s="1777" customFormat="1" ht="17.25" hidden="1" customHeight="1">
      <c r="A117" s="258"/>
      <c r="C117" s="147"/>
      <c r="D117" s="5268">
        <v>1</v>
      </c>
      <c r="E117" s="5257" t="s">
        <v>276</v>
      </c>
      <c r="F117" s="5270" t="s">
        <v>19</v>
      </c>
      <c r="G117" s="5257"/>
      <c r="H117" s="5259"/>
      <c r="I117" s="5261"/>
      <c r="J117" s="5263"/>
      <c r="K117" s="5255"/>
      <c r="L117" s="5255"/>
      <c r="M117" s="5255"/>
      <c r="N117" s="5266"/>
      <c r="O117" s="5255"/>
      <c r="P117" s="5255"/>
      <c r="Q117" s="5255"/>
      <c r="R117" s="5253"/>
      <c r="S117" s="5255"/>
      <c r="T117" s="1396"/>
      <c r="U117" s="1396"/>
      <c r="V117" s="1398"/>
      <c r="W117" s="1222"/>
      <c r="Y117" s="1193"/>
      <c r="Z117" s="1193"/>
      <c r="AA117" s="1193"/>
      <c r="AB117" s="1193"/>
      <c r="AC117" s="1193" t="s">
        <v>277</v>
      </c>
      <c r="AD117" s="1193" t="s">
        <v>278</v>
      </c>
      <c r="AE117" s="1193" t="s">
        <v>279</v>
      </c>
      <c r="AF117" s="1193" t="s">
        <v>280</v>
      </c>
      <c r="AG117" s="1193"/>
      <c r="AH117" s="1193" t="str">
        <f>IF($E$117=0,"",$E$117)</f>
        <v>Тариф на горячую воду (горячее водоснабжение)</v>
      </c>
      <c r="AI117" s="1193" t="str">
        <f>IF($G$117=0,"",$G$117)</f>
        <v/>
      </c>
      <c r="AJ117" s="1193" t="str">
        <f>IF($J$117=0,"",$J$117)</f>
        <v/>
      </c>
      <c r="AK117" s="1193" t="str">
        <f>IF($K$117="нет","без дифференциации",IF($N$117=0,"",$N$117))</f>
        <v/>
      </c>
      <c r="AL117" s="1193" t="str">
        <f>IF($O$117="нет","без дифференциации",IF($R$117=0,"",$R$117))</f>
        <v/>
      </c>
      <c r="AM117" s="1193" t="str">
        <f>IF($S$117="нет","без дифференциации",IF($V$117=0,"",$V$117))</f>
        <v/>
      </c>
      <c r="AN117" s="1193">
        <f>$I$117</f>
        <v>0</v>
      </c>
      <c r="AO117" s="1193" t="str">
        <f>$I$117&amp;"."&amp;$M$117</f>
        <v>.</v>
      </c>
      <c r="AP117" s="1193" t="str">
        <f>$I$117&amp;"."&amp;$M$117&amp;"."&amp;$Q$117</f>
        <v>..</v>
      </c>
      <c r="AQ117" s="1193" t="str">
        <f>$I$117&amp;"."&amp;$M$117&amp;"."&amp;$Q$117&amp;"."&amp;$U$117</f>
        <v>...</v>
      </c>
      <c r="AR117" s="1393">
        <v>0</v>
      </c>
    </row>
    <row r="118" spans="1:44" s="1777" customFormat="1" ht="17.25" hidden="1" customHeight="1">
      <c r="A118" s="258"/>
      <c r="C118" s="257"/>
      <c r="D118" s="5268"/>
      <c r="E118" s="5257"/>
      <c r="F118" s="5271"/>
      <c r="G118" s="5257"/>
      <c r="H118" s="5260"/>
      <c r="I118" s="5262"/>
      <c r="J118" s="5264"/>
      <c r="K118" s="5256"/>
      <c r="L118" s="5256"/>
      <c r="M118" s="5256"/>
      <c r="N118" s="5267"/>
      <c r="O118" s="5256"/>
      <c r="P118" s="5256"/>
      <c r="Q118" s="5256"/>
      <c r="R118" s="5254"/>
      <c r="S118" s="5256"/>
      <c r="T118" s="1223"/>
      <c r="U118" s="1223"/>
      <c r="V118" s="1223"/>
      <c r="W118" s="1224"/>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93">
        <v>0</v>
      </c>
    </row>
    <row r="119" spans="1:44" s="1777" customFormat="1" ht="17.25" hidden="1" customHeight="1">
      <c r="A119" s="258"/>
      <c r="C119" s="147"/>
      <c r="D119" s="5268"/>
      <c r="E119" s="5257"/>
      <c r="F119" s="5271"/>
      <c r="G119" s="5257"/>
      <c r="H119" s="5260"/>
      <c r="I119" s="5262"/>
      <c r="J119" s="5265"/>
      <c r="K119" s="5256"/>
      <c r="L119" s="5256"/>
      <c r="M119" s="5256"/>
      <c r="N119" s="5254"/>
      <c r="O119" s="5256"/>
      <c r="P119" s="1397"/>
      <c r="Q119" s="1223"/>
      <c r="R119" s="1223"/>
      <c r="S119" s="266"/>
      <c r="T119" s="266"/>
      <c r="U119" s="266"/>
      <c r="V119" s="266"/>
      <c r="W119" s="1224"/>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3">
        <v>0</v>
      </c>
    </row>
    <row r="120" spans="1:44" s="1777" customFormat="1" ht="17.25" hidden="1" customHeight="1">
      <c r="A120" s="258"/>
      <c r="C120" s="257"/>
      <c r="D120" s="5268"/>
      <c r="E120" s="5257"/>
      <c r="F120" s="5271"/>
      <c r="G120" s="5257"/>
      <c r="H120" s="5260"/>
      <c r="I120" s="5262"/>
      <c r="J120" s="5265"/>
      <c r="K120" s="5256"/>
      <c r="L120" s="1223"/>
      <c r="M120" s="1223"/>
      <c r="N120" s="1223"/>
      <c r="O120" s="1223"/>
      <c r="P120" s="1223"/>
      <c r="Q120" s="1223"/>
      <c r="R120" s="1223"/>
      <c r="S120" s="266"/>
      <c r="T120" s="266"/>
      <c r="U120" s="266"/>
      <c r="V120" s="266"/>
      <c r="W120" s="122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257"/>
      <c r="D121" s="5269"/>
      <c r="E121" s="5258"/>
      <c r="F121" s="5272"/>
      <c r="G121" s="5258"/>
      <c r="H121" s="1225"/>
      <c r="I121" s="1226"/>
      <c r="J121" s="1226"/>
      <c r="K121" s="1226"/>
      <c r="L121" s="1226"/>
      <c r="M121" s="1226"/>
      <c r="N121" s="1226"/>
      <c r="O121" s="1226"/>
      <c r="P121" s="1226"/>
      <c r="Q121" s="1226"/>
      <c r="R121" s="1226"/>
      <c r="S121" s="1227"/>
      <c r="T121" s="1227"/>
      <c r="U121" s="1227"/>
      <c r="V121" s="1227"/>
      <c r="W121" s="1228"/>
      <c r="Y121" s="1185"/>
      <c r="Z121" s="1185"/>
      <c r="AA121" s="1185"/>
      <c r="AB121" s="1185"/>
      <c r="AC121" s="1185"/>
      <c r="AD121" s="1185"/>
      <c r="AE121" s="1185"/>
      <c r="AF121" s="1185"/>
      <c r="AG121" s="1185"/>
      <c r="AH121" s="1185"/>
      <c r="AI121" s="1185"/>
      <c r="AJ121" s="1185"/>
      <c r="AK121" s="1185"/>
      <c r="AL121" s="1185"/>
      <c r="AM121" s="1185"/>
      <c r="AN121" s="1185"/>
      <c r="AO121" s="1185"/>
      <c r="AP121" s="1185"/>
      <c r="AQ121" s="1185"/>
      <c r="AR121" s="1393">
        <v>0</v>
      </c>
    </row>
    <row r="122" spans="1:44" s="1777" customFormat="1" ht="17.25" hidden="1" customHeight="1">
      <c r="A122" s="258"/>
      <c r="C122" s="147"/>
      <c r="D122" s="5268">
        <v>2</v>
      </c>
      <c r="E122" s="5257" t="s">
        <v>281</v>
      </c>
      <c r="F122" s="5270" t="s">
        <v>19</v>
      </c>
      <c r="G122" s="5257"/>
      <c r="H122" s="5259"/>
      <c r="I122" s="5261"/>
      <c r="J122" s="5263"/>
      <c r="K122" s="5255"/>
      <c r="L122" s="5255"/>
      <c r="M122" s="5255"/>
      <c r="N122" s="5266"/>
      <c r="O122" s="5255"/>
      <c r="P122" s="5255"/>
      <c r="Q122" s="5255"/>
      <c r="R122" s="5253"/>
      <c r="S122" s="5255"/>
      <c r="T122" s="1396"/>
      <c r="U122" s="1396"/>
      <c r="V122" s="1398"/>
      <c r="W122" s="1222"/>
      <c r="X122" s="1193"/>
      <c r="Y122" s="1193"/>
      <c r="Z122" s="1193"/>
      <c r="AA122" s="1193"/>
      <c r="AB122" s="1193"/>
      <c r="AC122" s="1193" t="s">
        <v>282</v>
      </c>
      <c r="AD122" s="1193" t="s">
        <v>283</v>
      </c>
      <c r="AE122" s="1193" t="s">
        <v>284</v>
      </c>
      <c r="AF122" s="1193" t="s">
        <v>285</v>
      </c>
      <c r="AG122" s="1193"/>
      <c r="AH122" s="1193" t="str">
        <f>IF($E$122=0,"",$E$122)</f>
        <v>Тариф на транспортировку горячей воды</v>
      </c>
      <c r="AI122" s="1193" t="str">
        <f>IF($G$122=0,"",$G$122)</f>
        <v/>
      </c>
      <c r="AJ122" s="1193" t="str">
        <f>IF($J$122=0,"",$J$122)</f>
        <v/>
      </c>
      <c r="AK122" s="1193" t="str">
        <f>IF($K$122="нет","без дифференциации",IF($N$122=0,"",$N$122))</f>
        <v/>
      </c>
      <c r="AL122" s="1193" t="str">
        <f>IF($O$122="нет","без дифференциации",IF($R$122=0,"",$R$122))</f>
        <v/>
      </c>
      <c r="AM122" s="1193" t="str">
        <f>IF($S$122="нет","без дифференциации",IF($V$122=0,"",$V$122))</f>
        <v/>
      </c>
      <c r="AN122" s="1697">
        <f>$I$122</f>
        <v>0</v>
      </c>
      <c r="AO122" s="1193" t="str">
        <f>$I$122&amp;"."&amp;$M$122</f>
        <v>.</v>
      </c>
      <c r="AP122" s="1185" t="str">
        <f>$I$122&amp;"."&amp;$M$122&amp;"."&amp;$Q$122</f>
        <v>..</v>
      </c>
      <c r="AQ122" s="1185" t="str">
        <f>$I$122&amp;"."&amp;$M$122&amp;"."&amp;$Q$122&amp;"."&amp;$U$122</f>
        <v>...</v>
      </c>
      <c r="AR122" s="1393">
        <v>0</v>
      </c>
    </row>
    <row r="123" spans="1:44" s="1777" customFormat="1" ht="17.25" hidden="1" customHeight="1">
      <c r="A123" s="258"/>
      <c r="C123" s="257"/>
      <c r="D123" s="5268"/>
      <c r="E123" s="5257"/>
      <c r="F123" s="5271"/>
      <c r="G123" s="5257"/>
      <c r="H123" s="5260"/>
      <c r="I123" s="5262"/>
      <c r="J123" s="5264"/>
      <c r="K123" s="5256"/>
      <c r="L123" s="5256"/>
      <c r="M123" s="5256"/>
      <c r="N123" s="5267"/>
      <c r="O123" s="5256"/>
      <c r="P123" s="5256"/>
      <c r="Q123" s="5256"/>
      <c r="R123" s="5254"/>
      <c r="S123" s="5256"/>
      <c r="T123" s="1223"/>
      <c r="U123" s="1223"/>
      <c r="V123" s="1223"/>
      <c r="W123" s="1224"/>
      <c r="X123" s="1185"/>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93">
        <v>0</v>
      </c>
    </row>
    <row r="124" spans="1:44" s="1777" customFormat="1" ht="17.25" hidden="1" customHeight="1">
      <c r="A124" s="258"/>
      <c r="C124" s="257"/>
      <c r="D124" s="5269"/>
      <c r="E124" s="5258"/>
      <c r="F124" s="5271"/>
      <c r="G124" s="5258"/>
      <c r="H124" s="5260"/>
      <c r="I124" s="5262"/>
      <c r="J124" s="5265"/>
      <c r="K124" s="5256"/>
      <c r="L124" s="5256"/>
      <c r="M124" s="5256"/>
      <c r="N124" s="5254"/>
      <c r="O124" s="5256"/>
      <c r="P124" s="1397"/>
      <c r="Q124" s="1223"/>
      <c r="R124" s="1223"/>
      <c r="S124" s="266"/>
      <c r="T124" s="266"/>
      <c r="U124" s="266"/>
      <c r="V124" s="266"/>
      <c r="W124" s="1224"/>
      <c r="X124" s="1185"/>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5269"/>
      <c r="E125" s="5258"/>
      <c r="F125" s="5271"/>
      <c r="G125" s="5258"/>
      <c r="H125" s="5260"/>
      <c r="I125" s="5262"/>
      <c r="J125" s="5265"/>
      <c r="K125" s="5256"/>
      <c r="L125" s="1223"/>
      <c r="M125" s="1223"/>
      <c r="N125" s="1223"/>
      <c r="O125" s="1223"/>
      <c r="P125" s="1223"/>
      <c r="Q125" s="1223"/>
      <c r="R125" s="1223"/>
      <c r="S125" s="266"/>
      <c r="T125" s="266"/>
      <c r="U125" s="266"/>
      <c r="V125" s="266"/>
      <c r="W125" s="1224"/>
      <c r="X125" s="1185"/>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257"/>
      <c r="D126" s="5269"/>
      <c r="E126" s="5258"/>
      <c r="F126" s="5272"/>
      <c r="G126" s="5258"/>
      <c r="H126" s="1225"/>
      <c r="I126" s="1226"/>
      <c r="J126" s="1226"/>
      <c r="K126" s="1226"/>
      <c r="L126" s="1226"/>
      <c r="M126" s="1226"/>
      <c r="N126" s="1226"/>
      <c r="O126" s="1226"/>
      <c r="P126" s="1226"/>
      <c r="Q126" s="1226"/>
      <c r="R126" s="1226"/>
      <c r="S126" s="1227"/>
      <c r="T126" s="1227"/>
      <c r="U126" s="1227"/>
      <c r="V126" s="1227"/>
      <c r="W126" s="1228"/>
      <c r="X126" s="1185"/>
      <c r="Y126" s="1185"/>
      <c r="Z126" s="1185"/>
      <c r="AA126" s="1185"/>
      <c r="AB126" s="1185"/>
      <c r="AC126" s="1185"/>
      <c r="AD126" s="1185"/>
      <c r="AE126" s="1185"/>
      <c r="AF126" s="1185"/>
      <c r="AG126" s="1185"/>
      <c r="AH126" s="1185"/>
      <c r="AI126" s="1185"/>
      <c r="AJ126" s="1185"/>
      <c r="AK126" s="1185"/>
      <c r="AL126" s="1185"/>
      <c r="AM126" s="1185"/>
      <c r="AN126" s="1185"/>
      <c r="AO126" s="1185"/>
      <c r="AP126" s="1185"/>
      <c r="AQ126" s="1185"/>
      <c r="AR126" s="1393">
        <v>0</v>
      </c>
    </row>
    <row r="127" spans="1:44" s="1777" customFormat="1" ht="17.25" hidden="1" customHeight="1">
      <c r="A127" s="258"/>
      <c r="C127" s="147"/>
      <c r="D127" s="5268">
        <v>3</v>
      </c>
      <c r="E127" s="5257" t="s">
        <v>286</v>
      </c>
      <c r="F127" s="5270" t="s">
        <v>19</v>
      </c>
      <c r="G127" s="5257"/>
      <c r="H127" s="5259"/>
      <c r="I127" s="5261"/>
      <c r="J127" s="5263"/>
      <c r="K127" s="5255"/>
      <c r="L127" s="5255"/>
      <c r="M127" s="5255"/>
      <c r="N127" s="5266"/>
      <c r="O127" s="5255"/>
      <c r="P127" s="5255"/>
      <c r="Q127" s="5255"/>
      <c r="R127" s="5253"/>
      <c r="S127" s="5255"/>
      <c r="T127" s="1864"/>
      <c r="U127" s="1864"/>
      <c r="V127" s="1866"/>
      <c r="W127" s="1222"/>
      <c r="X127" s="1193"/>
      <c r="Y127" s="1193"/>
      <c r="Z127" s="1193"/>
      <c r="AA127" s="1193"/>
      <c r="AB127" s="1193"/>
      <c r="AC127" s="1193" t="s">
        <v>287</v>
      </c>
      <c r="AD127" s="1193" t="s">
        <v>288</v>
      </c>
      <c r="AE127" s="1193" t="s">
        <v>289</v>
      </c>
      <c r="AF127" s="1193" t="s">
        <v>290</v>
      </c>
      <c r="AG127" s="1193"/>
      <c r="AH127" s="1193" t="str">
        <f>IF($E$127=0,"",$E$127)</f>
        <v>Тариф на подключение (технологическое присоединение) к централизованной системе горячего водоснабжения</v>
      </c>
      <c r="AI127" s="1193" t="str">
        <f>IF($G$127=0,"",$G$127)</f>
        <v/>
      </c>
      <c r="AJ127" s="1193" t="str">
        <f>IF($J$127=0,"",$J$127)</f>
        <v/>
      </c>
      <c r="AK127" s="1193" t="str">
        <f>IF($K$127="нет","без дифференциации",IF($N$127=0,"",$N$127))</f>
        <v/>
      </c>
      <c r="AL127" s="1193" t="str">
        <f>IF($O$127="нет","без дифференциации",IF($R$127=0,"",$R$127))</f>
        <v/>
      </c>
      <c r="AM127" s="1193" t="str">
        <f>IF($S$127="нет","без дифференциации",IF($V$127=0,"",$V$127))</f>
        <v/>
      </c>
      <c r="AN127" s="1697">
        <f>$I$127</f>
        <v>0</v>
      </c>
      <c r="AO127" s="1193" t="str">
        <f>$I$127&amp;"."&amp;$M$127</f>
        <v>.</v>
      </c>
      <c r="AP127" s="1192" t="str">
        <f>$I$127&amp;"."&amp;$M$127&amp;"."&amp;$Q$127</f>
        <v>..</v>
      </c>
      <c r="AQ127" s="1192" t="str">
        <f>$I$127&amp;"."&amp;$M$127&amp;"."&amp;$Q$127&amp;"."&amp;$U$127</f>
        <v>...</v>
      </c>
      <c r="AR127" s="1393">
        <v>0</v>
      </c>
    </row>
    <row r="128" spans="1:44" s="1777" customFormat="1" ht="17.25" hidden="1" customHeight="1">
      <c r="A128" s="258"/>
      <c r="C128" s="257"/>
      <c r="D128" s="5268"/>
      <c r="E128" s="5257"/>
      <c r="F128" s="5271"/>
      <c r="G128" s="5257"/>
      <c r="H128" s="5260"/>
      <c r="I128" s="5262"/>
      <c r="J128" s="5264"/>
      <c r="K128" s="5256"/>
      <c r="L128" s="5256"/>
      <c r="M128" s="5256"/>
      <c r="N128" s="5267"/>
      <c r="O128" s="5256"/>
      <c r="P128" s="5256"/>
      <c r="Q128" s="5256"/>
      <c r="R128" s="5254"/>
      <c r="S128" s="5256"/>
      <c r="T128" s="1869"/>
      <c r="U128" s="1869"/>
      <c r="V128" s="1869"/>
      <c r="W128" s="1870"/>
      <c r="X128" s="1192"/>
      <c r="Y128" s="1192"/>
      <c r="Z128" s="1192"/>
      <c r="AA128" s="1192"/>
      <c r="AB128" s="1192"/>
      <c r="AC128" s="1192"/>
      <c r="AD128" s="1192"/>
      <c r="AE128" s="1192"/>
      <c r="AF128" s="1192"/>
      <c r="AG128" s="1192"/>
      <c r="AH128" s="1192"/>
      <c r="AI128" s="1192"/>
      <c r="AJ128" s="1192"/>
      <c r="AK128" s="1192"/>
      <c r="AL128" s="1192"/>
      <c r="AM128" s="1192"/>
      <c r="AN128" s="1192"/>
      <c r="AO128" s="1192"/>
      <c r="AP128" s="1192"/>
      <c r="AQ128" s="1192"/>
      <c r="AR128" s="1393">
        <v>0</v>
      </c>
    </row>
    <row r="129" spans="1:44" s="1777" customFormat="1" ht="17.25" hidden="1" customHeight="1">
      <c r="A129" s="258"/>
      <c r="C129" s="257"/>
      <c r="D129" s="5269"/>
      <c r="E129" s="5258"/>
      <c r="F129" s="5271"/>
      <c r="G129" s="5258"/>
      <c r="H129" s="5260"/>
      <c r="I129" s="5262"/>
      <c r="J129" s="5265"/>
      <c r="K129" s="5256"/>
      <c r="L129" s="5256"/>
      <c r="M129" s="5256"/>
      <c r="N129" s="5254"/>
      <c r="O129" s="5256"/>
      <c r="P129" s="1865"/>
      <c r="Q129" s="1869"/>
      <c r="R129" s="1869"/>
      <c r="S129" s="266"/>
      <c r="T129" s="266"/>
      <c r="U129" s="266"/>
      <c r="V129" s="266"/>
      <c r="W129" s="1870"/>
      <c r="X129" s="1192"/>
      <c r="Y129" s="1192"/>
      <c r="Z129" s="1192"/>
      <c r="AA129" s="1192"/>
      <c r="AB129" s="1192"/>
      <c r="AC129" s="1192"/>
      <c r="AD129" s="1192"/>
      <c r="AE129" s="1192"/>
      <c r="AF129" s="1192"/>
      <c r="AG129" s="1192"/>
      <c r="AH129" s="1192"/>
      <c r="AI129" s="1192"/>
      <c r="AJ129" s="1192"/>
      <c r="AK129" s="1192"/>
      <c r="AL129" s="1192"/>
      <c r="AM129" s="1192"/>
      <c r="AN129" s="1192"/>
      <c r="AO129" s="1192"/>
      <c r="AP129" s="1192"/>
      <c r="AQ129" s="1192"/>
      <c r="AR129" s="1393">
        <v>0</v>
      </c>
    </row>
    <row r="130" spans="1:44" s="1777" customFormat="1" ht="17.25" hidden="1" customHeight="1">
      <c r="A130" s="258"/>
      <c r="C130" s="257"/>
      <c r="D130" s="5269"/>
      <c r="E130" s="5258"/>
      <c r="F130" s="5271"/>
      <c r="G130" s="5258"/>
      <c r="H130" s="5260"/>
      <c r="I130" s="5262"/>
      <c r="J130" s="5265"/>
      <c r="K130" s="5256"/>
      <c r="L130" s="1869"/>
      <c r="M130" s="1869"/>
      <c r="N130" s="1869"/>
      <c r="O130" s="1869"/>
      <c r="P130" s="1869"/>
      <c r="Q130" s="1869"/>
      <c r="R130" s="1869"/>
      <c r="S130" s="266"/>
      <c r="T130" s="266"/>
      <c r="U130" s="266"/>
      <c r="V130" s="266"/>
      <c r="W130" s="1870"/>
      <c r="X130" s="1192"/>
      <c r="Y130" s="1192"/>
      <c r="Z130" s="1192"/>
      <c r="AA130" s="1192"/>
      <c r="AB130" s="1192"/>
      <c r="AC130" s="1192"/>
      <c r="AD130" s="1192"/>
      <c r="AE130" s="1192"/>
      <c r="AF130" s="1192"/>
      <c r="AG130" s="1192"/>
      <c r="AH130" s="1192"/>
      <c r="AI130" s="1192"/>
      <c r="AJ130" s="1192"/>
      <c r="AK130" s="1192"/>
      <c r="AL130" s="1192"/>
      <c r="AM130" s="1192"/>
      <c r="AN130" s="1192"/>
      <c r="AO130" s="1192"/>
      <c r="AP130" s="1192"/>
      <c r="AQ130" s="1192"/>
      <c r="AR130" s="1393">
        <v>0</v>
      </c>
    </row>
    <row r="131" spans="1:44" s="1777" customFormat="1" ht="17.25" hidden="1" customHeight="1">
      <c r="A131" s="258"/>
      <c r="C131" s="257"/>
      <c r="D131" s="5269"/>
      <c r="E131" s="5258"/>
      <c r="F131" s="5272"/>
      <c r="G131" s="5258"/>
      <c r="H131" s="1225"/>
      <c r="I131" s="1867"/>
      <c r="J131" s="1867"/>
      <c r="K131" s="1867"/>
      <c r="L131" s="1867"/>
      <c r="M131" s="1867"/>
      <c r="N131" s="1867"/>
      <c r="O131" s="1867"/>
      <c r="P131" s="1867"/>
      <c r="Q131" s="1867"/>
      <c r="R131" s="1867"/>
      <c r="S131" s="1227"/>
      <c r="T131" s="1227"/>
      <c r="U131" s="1227"/>
      <c r="V131" s="1227"/>
      <c r="W131" s="1868"/>
      <c r="X131" s="1192"/>
      <c r="Y131" s="1192"/>
      <c r="Z131" s="1192"/>
      <c r="AA131" s="1192"/>
      <c r="AB131" s="1192"/>
      <c r="AC131" s="1192"/>
      <c r="AD131" s="1192"/>
      <c r="AE131" s="1192"/>
      <c r="AF131" s="1192"/>
      <c r="AG131" s="1192"/>
      <c r="AH131" s="1192"/>
      <c r="AI131" s="1192"/>
      <c r="AJ131" s="1192"/>
      <c r="AK131" s="1192"/>
      <c r="AL131" s="1192"/>
      <c r="AM131" s="1192"/>
      <c r="AN131" s="1192"/>
      <c r="AO131" s="1192"/>
      <c r="AP131" s="1192"/>
      <c r="AQ131" s="1192"/>
      <c r="AR131" s="1393">
        <v>0</v>
      </c>
    </row>
    <row r="132" spans="1:44" s="1777" customFormat="1" ht="11.25" hidden="1" customHeight="1">
      <c r="A132" s="214"/>
      <c r="B132" s="214"/>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93">
        <v>0</v>
      </c>
    </row>
    <row r="133" spans="1:44" s="1777" customFormat="1" ht="17.25" hidden="1" customHeight="1">
      <c r="A133" s="258"/>
      <c r="C133" s="147"/>
      <c r="D133" s="5268">
        <v>1</v>
      </c>
      <c r="E133" s="5257" t="s">
        <v>291</v>
      </c>
      <c r="F133" s="5270" t="s">
        <v>19</v>
      </c>
      <c r="G133" s="5257"/>
      <c r="H133" s="5259"/>
      <c r="I133" s="5261"/>
      <c r="J133" s="5263"/>
      <c r="K133" s="5255"/>
      <c r="L133" s="5255"/>
      <c r="M133" s="5255"/>
      <c r="N133" s="5266"/>
      <c r="O133" s="5255"/>
      <c r="P133" s="5255"/>
      <c r="Q133" s="5255"/>
      <c r="R133" s="5253"/>
      <c r="S133" s="5255"/>
      <c r="T133" s="1396"/>
      <c r="U133" s="1396"/>
      <c r="V133" s="1398"/>
      <c r="W133" s="1222"/>
      <c r="Y133" s="1193"/>
      <c r="Z133" s="1193"/>
      <c r="AA133" s="1193"/>
      <c r="AB133" s="1193"/>
      <c r="AC133" s="1193" t="s">
        <v>292</v>
      </c>
      <c r="AD133" s="1193" t="s">
        <v>293</v>
      </c>
      <c r="AE133" s="1193" t="s">
        <v>294</v>
      </c>
      <c r="AF133" s="1193" t="s">
        <v>295</v>
      </c>
      <c r="AG133" s="1193"/>
      <c r="AH133" s="1193" t="str">
        <f>IF($E$133=0,"",$E$133)</f>
        <v>Тариф на водоотведение</v>
      </c>
      <c r="AI133" s="1193" t="str">
        <f>IF($G$133=0,"",$G$133)</f>
        <v/>
      </c>
      <c r="AJ133" s="1193" t="str">
        <f>IF($J$133=0,"",$J$133)</f>
        <v/>
      </c>
      <c r="AK133" s="1193" t="str">
        <f>IF($K$133="нет","без дифференциации",IF($N$133=0,"",$N$133))</f>
        <v/>
      </c>
      <c r="AL133" s="1193" t="str">
        <f>IF($O$133="нет","без дифференциации",IF($R$133=0,"",$R$133))</f>
        <v/>
      </c>
      <c r="AM133" s="1193" t="str">
        <f>IF($S$133="нет","без дифференциации",IF($V$133=0,"",$V$133))</f>
        <v/>
      </c>
      <c r="AN133" s="1193">
        <f>$I$133</f>
        <v>0</v>
      </c>
      <c r="AO133" s="1193" t="str">
        <f>$I$133&amp;"."&amp;$M$133</f>
        <v>.</v>
      </c>
      <c r="AP133" s="1193" t="str">
        <f>$I$133&amp;"."&amp;$M$133&amp;"."&amp;$Q$133</f>
        <v>..</v>
      </c>
      <c r="AQ133" s="1193" t="str">
        <f>$I$133&amp;"."&amp;$M$133&amp;"."&amp;$Q$133&amp;"."&amp;$U$133</f>
        <v>...</v>
      </c>
      <c r="AR133" s="1393">
        <v>0</v>
      </c>
    </row>
    <row r="134" spans="1:44" s="1777" customFormat="1" ht="17.25" hidden="1" customHeight="1">
      <c r="A134" s="258"/>
      <c r="C134" s="257"/>
      <c r="D134" s="5268"/>
      <c r="E134" s="5257"/>
      <c r="F134" s="5271"/>
      <c r="G134" s="5257"/>
      <c r="H134" s="5260"/>
      <c r="I134" s="5262"/>
      <c r="J134" s="5264"/>
      <c r="K134" s="5256"/>
      <c r="L134" s="5256"/>
      <c r="M134" s="5256"/>
      <c r="N134" s="5267"/>
      <c r="O134" s="5256"/>
      <c r="P134" s="5256"/>
      <c r="Q134" s="5256"/>
      <c r="R134" s="5254"/>
      <c r="S134" s="5256"/>
      <c r="T134" s="1223"/>
      <c r="U134" s="1223"/>
      <c r="V134" s="1223"/>
      <c r="W134" s="1224"/>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93">
        <v>0</v>
      </c>
    </row>
    <row r="135" spans="1:44" s="1777" customFormat="1" ht="17.25" hidden="1" customHeight="1">
      <c r="A135" s="258"/>
      <c r="C135" s="147"/>
      <c r="D135" s="5268"/>
      <c r="E135" s="5257"/>
      <c r="F135" s="5271"/>
      <c r="G135" s="5257"/>
      <c r="H135" s="5260"/>
      <c r="I135" s="5262"/>
      <c r="J135" s="5265"/>
      <c r="K135" s="5256"/>
      <c r="L135" s="5256"/>
      <c r="M135" s="5256"/>
      <c r="N135" s="5254"/>
      <c r="O135" s="5256"/>
      <c r="P135" s="1397"/>
      <c r="Q135" s="1223"/>
      <c r="R135" s="1223"/>
      <c r="S135" s="266"/>
      <c r="T135" s="266"/>
      <c r="U135" s="266"/>
      <c r="V135" s="266"/>
      <c r="W135" s="1224"/>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3">
        <v>0</v>
      </c>
    </row>
    <row r="136" spans="1:44" s="1777" customFormat="1" ht="17.25" hidden="1" customHeight="1">
      <c r="A136" s="258"/>
      <c r="C136" s="257"/>
      <c r="D136" s="5268"/>
      <c r="E136" s="5257"/>
      <c r="F136" s="5271"/>
      <c r="G136" s="5257"/>
      <c r="H136" s="5260"/>
      <c r="I136" s="5262"/>
      <c r="J136" s="5265"/>
      <c r="K136" s="5256"/>
      <c r="L136" s="1223"/>
      <c r="M136" s="1223"/>
      <c r="N136" s="1223"/>
      <c r="O136" s="1223"/>
      <c r="P136" s="1223"/>
      <c r="Q136" s="1223"/>
      <c r="R136" s="1223"/>
      <c r="S136" s="266"/>
      <c r="T136" s="266"/>
      <c r="U136" s="266"/>
      <c r="V136" s="266"/>
      <c r="W136" s="1224"/>
      <c r="Y136" s="1185"/>
      <c r="Z136" s="1185"/>
      <c r="AA136" s="1185"/>
      <c r="AB136" s="1185"/>
      <c r="AC136" s="1185"/>
      <c r="AD136" s="1185"/>
      <c r="AE136" s="1185"/>
      <c r="AF136" s="1185"/>
      <c r="AG136" s="1185"/>
      <c r="AH136" s="1185"/>
      <c r="AI136" s="1185"/>
      <c r="AJ136" s="1185"/>
      <c r="AK136" s="1185"/>
      <c r="AL136" s="1185"/>
      <c r="AM136" s="1185"/>
      <c r="AN136" s="1185"/>
      <c r="AO136" s="1185"/>
      <c r="AP136" s="1185"/>
      <c r="AQ136" s="1185"/>
      <c r="AR136" s="1393">
        <v>0</v>
      </c>
    </row>
    <row r="137" spans="1:44" s="1777" customFormat="1" ht="17.25" hidden="1" customHeight="1">
      <c r="A137" s="258"/>
      <c r="C137" s="257"/>
      <c r="D137" s="5269"/>
      <c r="E137" s="5258"/>
      <c r="F137" s="5272"/>
      <c r="G137" s="5258"/>
      <c r="H137" s="1225"/>
      <c r="I137" s="1226"/>
      <c r="J137" s="1226"/>
      <c r="K137" s="1226"/>
      <c r="L137" s="1226"/>
      <c r="M137" s="1226"/>
      <c r="N137" s="1226"/>
      <c r="O137" s="1226"/>
      <c r="P137" s="1226"/>
      <c r="Q137" s="1226"/>
      <c r="R137" s="1226"/>
      <c r="S137" s="1227"/>
      <c r="T137" s="1227"/>
      <c r="U137" s="1227"/>
      <c r="V137" s="1227"/>
      <c r="W137" s="1228"/>
      <c r="Y137" s="1185"/>
      <c r="Z137" s="1185"/>
      <c r="AA137" s="1185"/>
      <c r="AB137" s="1185"/>
      <c r="AC137" s="1185"/>
      <c r="AD137" s="1185"/>
      <c r="AE137" s="1185"/>
      <c r="AF137" s="1185"/>
      <c r="AG137" s="1185"/>
      <c r="AH137" s="1185"/>
      <c r="AI137" s="1185"/>
      <c r="AJ137" s="1185"/>
      <c r="AK137" s="1185"/>
      <c r="AL137" s="1185"/>
      <c r="AM137" s="1185"/>
      <c r="AN137" s="1185"/>
      <c r="AO137" s="1185"/>
      <c r="AP137" s="1185"/>
      <c r="AQ137" s="1185"/>
      <c r="AR137" s="1393">
        <v>0</v>
      </c>
    </row>
    <row r="138" spans="1:44" s="1777" customFormat="1" ht="17.25" hidden="1" customHeight="1">
      <c r="A138" s="258"/>
      <c r="C138" s="147"/>
      <c r="D138" s="5268">
        <v>2</v>
      </c>
      <c r="E138" s="5257" t="s">
        <v>296</v>
      </c>
      <c r="F138" s="5270" t="s">
        <v>19</v>
      </c>
      <c r="G138" s="5257"/>
      <c r="H138" s="5259"/>
      <c r="I138" s="5261"/>
      <c r="J138" s="5263"/>
      <c r="K138" s="5255"/>
      <c r="L138" s="5255"/>
      <c r="M138" s="5255"/>
      <c r="N138" s="5266"/>
      <c r="O138" s="5255"/>
      <c r="P138" s="5255"/>
      <c r="Q138" s="5255"/>
      <c r="R138" s="5253"/>
      <c r="S138" s="5255"/>
      <c r="T138" s="1396"/>
      <c r="U138" s="1396"/>
      <c r="V138" s="1398"/>
      <c r="W138" s="1222"/>
      <c r="X138" s="1193"/>
      <c r="Y138" s="1193"/>
      <c r="Z138" s="1193"/>
      <c r="AA138" s="1193"/>
      <c r="AB138" s="1193"/>
      <c r="AC138" s="1193" t="s">
        <v>297</v>
      </c>
      <c r="AD138" s="1193" t="s">
        <v>298</v>
      </c>
      <c r="AE138" s="1193" t="s">
        <v>299</v>
      </c>
      <c r="AF138" s="1193" t="s">
        <v>300</v>
      </c>
      <c r="AG138" s="1193"/>
      <c r="AH138" s="1193" t="str">
        <f>IF($E$138=0,"",$E$138)</f>
        <v>Тариф на транспортировку сточных вод</v>
      </c>
      <c r="AI138" s="1193" t="str">
        <f>IF($G$138=0,"",$G$138)</f>
        <v/>
      </c>
      <c r="AJ138" s="1193" t="str">
        <f>IF($J$138=0,"",$J$138)</f>
        <v/>
      </c>
      <c r="AK138" s="1193" t="str">
        <f>IF($K$138="нет","без дифференциации",IF($N$138=0,"",$N$138))</f>
        <v/>
      </c>
      <c r="AL138" s="1193" t="str">
        <f>IF($O$138="нет","без дифференциации",IF($R$138=0,"",$R$138))</f>
        <v/>
      </c>
      <c r="AM138" s="1193" t="str">
        <f>IF($S$138="нет","без дифференциации",IF($V$138=0,"",$V$138))</f>
        <v/>
      </c>
      <c r="AN138" s="1697">
        <f>$I$138</f>
        <v>0</v>
      </c>
      <c r="AO138" s="1193" t="str">
        <f>$I$138&amp;"."&amp;$M$138</f>
        <v>.</v>
      </c>
      <c r="AP138" s="1185" t="str">
        <f>$I$138&amp;"."&amp;$M$138&amp;"."&amp;$Q$138</f>
        <v>..</v>
      </c>
      <c r="AQ138" s="1185" t="str">
        <f>$I$138&amp;"."&amp;$M$138&amp;"."&amp;$Q$138&amp;"."&amp;$U$138</f>
        <v>...</v>
      </c>
      <c r="AR138" s="1393">
        <v>0</v>
      </c>
    </row>
    <row r="139" spans="1:44" s="1777" customFormat="1" ht="17.25" hidden="1" customHeight="1">
      <c r="A139" s="258"/>
      <c r="C139" s="257"/>
      <c r="D139" s="5268"/>
      <c r="E139" s="5257"/>
      <c r="F139" s="5271"/>
      <c r="G139" s="5257"/>
      <c r="H139" s="5260"/>
      <c r="I139" s="5262"/>
      <c r="J139" s="5264"/>
      <c r="K139" s="5256"/>
      <c r="L139" s="5256"/>
      <c r="M139" s="5256"/>
      <c r="N139" s="5267"/>
      <c r="O139" s="5256"/>
      <c r="P139" s="5256"/>
      <c r="Q139" s="5256"/>
      <c r="R139" s="5254"/>
      <c r="S139" s="5256"/>
      <c r="T139" s="1223"/>
      <c r="U139" s="1223"/>
      <c r="V139" s="1223"/>
      <c r="W139" s="1224"/>
      <c r="X139" s="1185"/>
      <c r="Y139" s="1185"/>
      <c r="Z139" s="1185"/>
      <c r="AA139" s="1185"/>
      <c r="AB139" s="1185"/>
      <c r="AC139" s="1185"/>
      <c r="AD139" s="1185"/>
      <c r="AE139" s="1185"/>
      <c r="AF139" s="1185"/>
      <c r="AG139" s="1185"/>
      <c r="AH139" s="1185"/>
      <c r="AI139" s="1185"/>
      <c r="AJ139" s="1185"/>
      <c r="AK139" s="1185"/>
      <c r="AL139" s="1185"/>
      <c r="AM139" s="1185"/>
      <c r="AN139" s="1185"/>
      <c r="AO139" s="1185"/>
      <c r="AP139" s="1185"/>
      <c r="AQ139" s="1185"/>
      <c r="AR139" s="1393">
        <v>0</v>
      </c>
    </row>
    <row r="140" spans="1:44" s="1777" customFormat="1" ht="17.25" hidden="1" customHeight="1">
      <c r="A140" s="258"/>
      <c r="C140" s="257"/>
      <c r="D140" s="5269"/>
      <c r="E140" s="5258"/>
      <c r="F140" s="5271"/>
      <c r="G140" s="5258"/>
      <c r="H140" s="5260"/>
      <c r="I140" s="5262"/>
      <c r="J140" s="5265"/>
      <c r="K140" s="5256"/>
      <c r="L140" s="5256"/>
      <c r="M140" s="5256"/>
      <c r="N140" s="5254"/>
      <c r="O140" s="5256"/>
      <c r="P140" s="1397"/>
      <c r="Q140" s="1223"/>
      <c r="R140" s="1223"/>
      <c r="S140" s="266"/>
      <c r="T140" s="266"/>
      <c r="U140" s="266"/>
      <c r="V140" s="266"/>
      <c r="W140" s="1224"/>
      <c r="X140" s="1185"/>
      <c r="Y140" s="1185"/>
      <c r="Z140" s="1185"/>
      <c r="AA140" s="1185"/>
      <c r="AB140" s="1185"/>
      <c r="AC140" s="1185"/>
      <c r="AD140" s="1185"/>
      <c r="AE140" s="1185"/>
      <c r="AF140" s="1185"/>
      <c r="AG140" s="1185"/>
      <c r="AH140" s="1185"/>
      <c r="AI140" s="1185"/>
      <c r="AJ140" s="1185"/>
      <c r="AK140" s="1185"/>
      <c r="AL140" s="1185"/>
      <c r="AM140" s="1185"/>
      <c r="AN140" s="1185"/>
      <c r="AO140" s="1185"/>
      <c r="AP140" s="1185"/>
      <c r="AQ140" s="1185"/>
      <c r="AR140" s="1393">
        <v>0</v>
      </c>
    </row>
    <row r="141" spans="1:44" s="1777" customFormat="1" ht="17.25" hidden="1" customHeight="1">
      <c r="A141" s="258"/>
      <c r="C141" s="257"/>
      <c r="D141" s="5269"/>
      <c r="E141" s="5258"/>
      <c r="F141" s="5271"/>
      <c r="G141" s="5258"/>
      <c r="H141" s="5260"/>
      <c r="I141" s="5262"/>
      <c r="J141" s="5265"/>
      <c r="K141" s="5256"/>
      <c r="L141" s="1223"/>
      <c r="M141" s="1223"/>
      <c r="N141" s="1223"/>
      <c r="O141" s="1223"/>
      <c r="P141" s="1223"/>
      <c r="Q141" s="1223"/>
      <c r="R141" s="1223"/>
      <c r="S141" s="266"/>
      <c r="T141" s="266"/>
      <c r="U141" s="266"/>
      <c r="V141" s="266"/>
      <c r="W141" s="1224"/>
      <c r="X141" s="1185"/>
      <c r="Y141" s="1185"/>
      <c r="Z141" s="1185"/>
      <c r="AA141" s="1185"/>
      <c r="AB141" s="1185"/>
      <c r="AC141" s="1185"/>
      <c r="AD141" s="1185"/>
      <c r="AE141" s="1185"/>
      <c r="AF141" s="1185"/>
      <c r="AG141" s="1185"/>
      <c r="AH141" s="1185"/>
      <c r="AI141" s="1185"/>
      <c r="AJ141" s="1185"/>
      <c r="AK141" s="1185"/>
      <c r="AL141" s="1185"/>
      <c r="AM141" s="1185"/>
      <c r="AN141" s="1185"/>
      <c r="AO141" s="1185"/>
      <c r="AP141" s="1185"/>
      <c r="AQ141" s="1185"/>
      <c r="AR141" s="1393">
        <v>0</v>
      </c>
    </row>
    <row r="142" spans="1:44" s="1777" customFormat="1" ht="17.25" hidden="1" customHeight="1">
      <c r="A142" s="258"/>
      <c r="C142" s="257"/>
      <c r="D142" s="5269"/>
      <c r="E142" s="5258"/>
      <c r="F142" s="5272"/>
      <c r="G142" s="5258"/>
      <c r="H142" s="1225"/>
      <c r="I142" s="1226"/>
      <c r="J142" s="1226"/>
      <c r="K142" s="1226"/>
      <c r="L142" s="1226"/>
      <c r="M142" s="1226"/>
      <c r="N142" s="1226"/>
      <c r="O142" s="1226"/>
      <c r="P142" s="1226"/>
      <c r="Q142" s="1226"/>
      <c r="R142" s="1226"/>
      <c r="S142" s="1227"/>
      <c r="T142" s="1227"/>
      <c r="U142" s="1227"/>
      <c r="V142" s="1227"/>
      <c r="W142" s="1228"/>
      <c r="X142" s="1185"/>
      <c r="Y142" s="1185"/>
      <c r="Z142" s="1185"/>
      <c r="AA142" s="1185"/>
      <c r="AB142" s="1185"/>
      <c r="AC142" s="1185"/>
      <c r="AD142" s="1185"/>
      <c r="AE142" s="1185"/>
      <c r="AF142" s="1185"/>
      <c r="AG142" s="1185"/>
      <c r="AH142" s="1185"/>
      <c r="AI142" s="1185"/>
      <c r="AJ142" s="1185"/>
      <c r="AK142" s="1185"/>
      <c r="AL142" s="1185"/>
      <c r="AM142" s="1185"/>
      <c r="AN142" s="1185"/>
      <c r="AO142" s="1185"/>
      <c r="AP142" s="1185"/>
      <c r="AQ142" s="1185"/>
      <c r="AR142" s="1393">
        <v>0</v>
      </c>
    </row>
    <row r="143" spans="1:44" s="1777" customFormat="1" ht="17.25" hidden="1" customHeight="1">
      <c r="A143" s="258"/>
      <c r="C143" s="147"/>
      <c r="D143" s="5268">
        <v>3</v>
      </c>
      <c r="E143" s="5257" t="s">
        <v>301</v>
      </c>
      <c r="F143" s="5270" t="s">
        <v>19</v>
      </c>
      <c r="G143" s="5257"/>
      <c r="H143" s="5259"/>
      <c r="I143" s="5261"/>
      <c r="J143" s="5263"/>
      <c r="K143" s="5255"/>
      <c r="L143" s="5255"/>
      <c r="M143" s="5255"/>
      <c r="N143" s="5266"/>
      <c r="O143" s="5255"/>
      <c r="P143" s="5255"/>
      <c r="Q143" s="5255"/>
      <c r="R143" s="5253"/>
      <c r="S143" s="5255"/>
      <c r="T143" s="1864"/>
      <c r="U143" s="1864"/>
      <c r="V143" s="1866"/>
      <c r="W143" s="1222"/>
      <c r="X143" s="1193"/>
      <c r="Y143" s="1193"/>
      <c r="Z143" s="1193"/>
      <c r="AA143" s="1193"/>
      <c r="AB143" s="1193"/>
      <c r="AC143" s="1193" t="s">
        <v>302</v>
      </c>
      <c r="AD143" s="1193" t="s">
        <v>303</v>
      </c>
      <c r="AE143" s="1193" t="s">
        <v>304</v>
      </c>
      <c r="AF143" s="1193" t="s">
        <v>305</v>
      </c>
      <c r="AG143" s="1193"/>
      <c r="AH143" s="1193" t="str">
        <f>IF($E$143=0,"",$E$143)</f>
        <v>Тариф на подключение (технологическое присоединение) к централизованной системе водоотведения</v>
      </c>
      <c r="AI143" s="1193" t="str">
        <f>IF($G$143=0,"",$G$143)</f>
        <v/>
      </c>
      <c r="AJ143" s="1193" t="str">
        <f>IF($J$143=0,"",$J$143)</f>
        <v/>
      </c>
      <c r="AK143" s="1193" t="str">
        <f>IF($K$143="нет","без дифференциации",IF($N$143=0,"",$N$143))</f>
        <v/>
      </c>
      <c r="AL143" s="1193" t="str">
        <f>IF($O$143="нет","без дифференциации",IF($R$143=0,"",$R$143))</f>
        <v/>
      </c>
      <c r="AM143" s="1193" t="str">
        <f>IF($S$143="нет","без дифференциации",IF($V$143=0,"",$V$143))</f>
        <v/>
      </c>
      <c r="AN143" s="1697">
        <f>$I$143</f>
        <v>0</v>
      </c>
      <c r="AO143" s="1193" t="str">
        <f>$I$143&amp;"."&amp;$M$143</f>
        <v>.</v>
      </c>
      <c r="AP143" s="1192" t="str">
        <f>$I$143&amp;"."&amp;$M$143&amp;"."&amp;$Q$143</f>
        <v>..</v>
      </c>
      <c r="AQ143" s="1192" t="str">
        <f>$I$143&amp;"."&amp;$M$143&amp;"."&amp;$Q$143&amp;"."&amp;$U$143</f>
        <v>...</v>
      </c>
      <c r="AR143" s="1393">
        <v>0</v>
      </c>
    </row>
    <row r="144" spans="1:44" s="1777" customFormat="1" ht="17.25" hidden="1" customHeight="1">
      <c r="A144" s="258"/>
      <c r="C144" s="257"/>
      <c r="D144" s="5268"/>
      <c r="E144" s="5257"/>
      <c r="F144" s="5271"/>
      <c r="G144" s="5257"/>
      <c r="H144" s="5260"/>
      <c r="I144" s="5262"/>
      <c r="J144" s="5264"/>
      <c r="K144" s="5256"/>
      <c r="L144" s="5256"/>
      <c r="M144" s="5256"/>
      <c r="N144" s="5267"/>
      <c r="O144" s="5256"/>
      <c r="P144" s="5256"/>
      <c r="Q144" s="5256"/>
      <c r="R144" s="5254"/>
      <c r="S144" s="5256"/>
      <c r="T144" s="1869"/>
      <c r="U144" s="1869"/>
      <c r="V144" s="1869"/>
      <c r="W144" s="1870"/>
      <c r="X144" s="1192"/>
      <c r="Y144" s="1192"/>
      <c r="Z144" s="1192"/>
      <c r="AA144" s="1192"/>
      <c r="AB144" s="1192"/>
      <c r="AC144" s="1192"/>
      <c r="AD144" s="1192"/>
      <c r="AE144" s="1192"/>
      <c r="AF144" s="1192"/>
      <c r="AG144" s="1192"/>
      <c r="AH144" s="1192"/>
      <c r="AI144" s="1192"/>
      <c r="AJ144" s="1192"/>
      <c r="AK144" s="1192"/>
      <c r="AL144" s="1192"/>
      <c r="AM144" s="1192"/>
      <c r="AN144" s="1192"/>
      <c r="AO144" s="1192"/>
      <c r="AP144" s="1192"/>
      <c r="AQ144" s="1192"/>
      <c r="AR144" s="1393">
        <v>0</v>
      </c>
    </row>
    <row r="145" spans="1:44" s="1777" customFormat="1" ht="17.25" hidden="1" customHeight="1">
      <c r="A145" s="258"/>
      <c r="C145" s="257"/>
      <c r="D145" s="5269"/>
      <c r="E145" s="5258"/>
      <c r="F145" s="5271"/>
      <c r="G145" s="5258"/>
      <c r="H145" s="5260"/>
      <c r="I145" s="5262"/>
      <c r="J145" s="5265"/>
      <c r="K145" s="5256"/>
      <c r="L145" s="5256"/>
      <c r="M145" s="5256"/>
      <c r="N145" s="5254"/>
      <c r="O145" s="5256"/>
      <c r="P145" s="1865"/>
      <c r="Q145" s="1869"/>
      <c r="R145" s="1869"/>
      <c r="S145" s="266"/>
      <c r="T145" s="266"/>
      <c r="U145" s="266"/>
      <c r="V145" s="266"/>
      <c r="W145" s="1870"/>
      <c r="X145" s="1192"/>
      <c r="Y145" s="1192"/>
      <c r="Z145" s="1192"/>
      <c r="AA145" s="1192"/>
      <c r="AB145" s="1192"/>
      <c r="AC145" s="1192"/>
      <c r="AD145" s="1192"/>
      <c r="AE145" s="1192"/>
      <c r="AF145" s="1192"/>
      <c r="AG145" s="1192"/>
      <c r="AH145" s="1192"/>
      <c r="AI145" s="1192"/>
      <c r="AJ145" s="1192"/>
      <c r="AK145" s="1192"/>
      <c r="AL145" s="1192"/>
      <c r="AM145" s="1192"/>
      <c r="AN145" s="1192"/>
      <c r="AO145" s="1192"/>
      <c r="AP145" s="1192"/>
      <c r="AQ145" s="1192"/>
      <c r="AR145" s="1393">
        <v>0</v>
      </c>
    </row>
    <row r="146" spans="1:44" s="1777" customFormat="1" ht="17.25" hidden="1" customHeight="1">
      <c r="A146" s="258"/>
      <c r="C146" s="257"/>
      <c r="D146" s="5269"/>
      <c r="E146" s="5258"/>
      <c r="F146" s="5271"/>
      <c r="G146" s="5258"/>
      <c r="H146" s="5260"/>
      <c r="I146" s="5262"/>
      <c r="J146" s="5265"/>
      <c r="K146" s="5256"/>
      <c r="L146" s="1869"/>
      <c r="M146" s="1869"/>
      <c r="N146" s="1869"/>
      <c r="O146" s="1869"/>
      <c r="P146" s="1869"/>
      <c r="Q146" s="1869"/>
      <c r="R146" s="1869"/>
      <c r="S146" s="266"/>
      <c r="T146" s="266"/>
      <c r="U146" s="266"/>
      <c r="V146" s="266"/>
      <c r="W146" s="1870"/>
      <c r="X146" s="1192"/>
      <c r="Y146" s="1192"/>
      <c r="Z146" s="1192"/>
      <c r="AA146" s="1192"/>
      <c r="AB146" s="1192"/>
      <c r="AC146" s="1192"/>
      <c r="AD146" s="1192"/>
      <c r="AE146" s="1192"/>
      <c r="AF146" s="1192"/>
      <c r="AG146" s="1192"/>
      <c r="AH146" s="1192"/>
      <c r="AI146" s="1192"/>
      <c r="AJ146" s="1192"/>
      <c r="AK146" s="1192"/>
      <c r="AL146" s="1192"/>
      <c r="AM146" s="1192"/>
      <c r="AN146" s="1192"/>
      <c r="AO146" s="1192"/>
      <c r="AP146" s="1192"/>
      <c r="AQ146" s="1192"/>
      <c r="AR146" s="1393">
        <v>0</v>
      </c>
    </row>
    <row r="147" spans="1:44" s="1777" customFormat="1" ht="17.25" hidden="1" customHeight="1">
      <c r="A147" s="258"/>
      <c r="C147" s="257"/>
      <c r="D147" s="5269"/>
      <c r="E147" s="5258"/>
      <c r="F147" s="5272"/>
      <c r="G147" s="5258"/>
      <c r="H147" s="1225"/>
      <c r="I147" s="1867"/>
      <c r="J147" s="1867"/>
      <c r="K147" s="1867"/>
      <c r="L147" s="1867"/>
      <c r="M147" s="1867"/>
      <c r="N147" s="1867"/>
      <c r="O147" s="1867"/>
      <c r="P147" s="1867"/>
      <c r="Q147" s="1867"/>
      <c r="R147" s="1867"/>
      <c r="S147" s="1227"/>
      <c r="T147" s="1227"/>
      <c r="U147" s="1227"/>
      <c r="V147" s="1227"/>
      <c r="W147" s="1868"/>
      <c r="X147" s="1192"/>
      <c r="Y147" s="1192"/>
      <c r="Z147" s="1192"/>
      <c r="AA147" s="1192"/>
      <c r="AB147" s="1192"/>
      <c r="AC147" s="1192"/>
      <c r="AD147" s="1192"/>
      <c r="AE147" s="1192"/>
      <c r="AF147" s="1192"/>
      <c r="AG147" s="1192"/>
      <c r="AH147" s="1192"/>
      <c r="AI147" s="1192"/>
      <c r="AJ147" s="1192"/>
      <c r="AK147" s="1192"/>
      <c r="AL147" s="1192"/>
      <c r="AM147" s="1192"/>
      <c r="AN147" s="1192"/>
      <c r="AO147" s="1192"/>
      <c r="AP147" s="1192"/>
      <c r="AQ147" s="1192"/>
      <c r="AR147" s="1393">
        <v>0</v>
      </c>
    </row>
    <row r="148" spans="1:44" ht="11.45" customHeight="1">
      <c r="AR148" s="44">
        <v>11</v>
      </c>
    </row>
    <row r="149" spans="1:44" ht="11.45" customHeight="1">
      <c r="AR149" s="44">
        <v>11</v>
      </c>
    </row>
    <row r="150" spans="1:44" ht="11.45" customHeight="1">
      <c r="AR150" s="44">
        <v>11</v>
      </c>
    </row>
    <row r="151" spans="1:44" ht="11.45" customHeight="1">
      <c r="E151" s="1276"/>
      <c r="AR151" s="44">
        <v>11</v>
      </c>
    </row>
    <row r="152" spans="1:44" ht="11.45" customHeight="1">
      <c r="E152" s="1276"/>
      <c r="AR152" s="44">
        <v>11</v>
      </c>
    </row>
    <row r="153" spans="1:44" ht="11.45" customHeight="1">
      <c r="E153" s="1276"/>
      <c r="AR153" s="44">
        <v>11</v>
      </c>
    </row>
    <row r="154" spans="1:44" ht="11.45" customHeight="1">
      <c r="E154" s="1276"/>
      <c r="AR154" s="44">
        <v>11</v>
      </c>
    </row>
    <row r="155" spans="1:44" ht="11.45" customHeight="1">
      <c r="E155" s="1276"/>
      <c r="AR155" s="44">
        <v>11</v>
      </c>
    </row>
    <row r="156" spans="1:44" ht="11.45" customHeight="1">
      <c r="E156" s="1276"/>
      <c r="AR156" s="44">
        <v>11</v>
      </c>
    </row>
    <row r="157" spans="1:44" ht="11.45" customHeight="1">
      <c r="E157" s="1276"/>
      <c r="AR157" s="44">
        <v>11</v>
      </c>
    </row>
    <row r="158" spans="1:44" ht="11.25" hidden="1" customHeight="1">
      <c r="A158" s="91" t="s">
        <v>84</v>
      </c>
      <c r="B158" s="91">
        <v>0</v>
      </c>
      <c r="C158" s="44">
        <v>3</v>
      </c>
      <c r="D158" s="44">
        <v>6</v>
      </c>
      <c r="E158" s="44">
        <v>42</v>
      </c>
      <c r="F158" s="1209">
        <v>14</v>
      </c>
      <c r="G158" s="44">
        <v>42</v>
      </c>
      <c r="H158" s="44">
        <v>3</v>
      </c>
      <c r="I158" s="44">
        <v>5</v>
      </c>
      <c r="J158" s="44">
        <v>47</v>
      </c>
      <c r="K158" s="44">
        <v>3</v>
      </c>
      <c r="L158" s="44">
        <v>3</v>
      </c>
      <c r="M158" s="44">
        <v>5</v>
      </c>
      <c r="N158" s="44">
        <v>28</v>
      </c>
      <c r="O158" s="44">
        <v>3</v>
      </c>
      <c r="P158" s="44">
        <v>3</v>
      </c>
      <c r="Q158" s="44">
        <v>5</v>
      </c>
      <c r="R158" s="44">
        <v>34</v>
      </c>
      <c r="S158" s="219">
        <v>0</v>
      </c>
      <c r="T158" s="219">
        <v>0</v>
      </c>
      <c r="U158" s="219">
        <v>0</v>
      </c>
      <c r="V158" s="219">
        <v>0</v>
      </c>
      <c r="W158" s="44">
        <v>30</v>
      </c>
      <c r="X158" s="44">
        <v>3</v>
      </c>
      <c r="Y158" s="1185">
        <v>0</v>
      </c>
      <c r="Z158" s="1185">
        <v>0</v>
      </c>
      <c r="AA158" s="1185">
        <v>0</v>
      </c>
      <c r="AB158" s="1185">
        <v>0</v>
      </c>
      <c r="AC158" s="1185">
        <v>0</v>
      </c>
      <c r="AD158" s="1185">
        <v>0</v>
      </c>
      <c r="AE158" s="1185">
        <v>0</v>
      </c>
      <c r="AF158" s="1185">
        <v>0</v>
      </c>
      <c r="AG158" s="1185">
        <v>0</v>
      </c>
      <c r="AH158" s="1185">
        <v>0</v>
      </c>
      <c r="AI158" s="1185">
        <v>0</v>
      </c>
      <c r="AJ158" s="1185">
        <v>0</v>
      </c>
      <c r="AK158" s="1185">
        <v>0</v>
      </c>
      <c r="AL158" s="1185">
        <v>0</v>
      </c>
      <c r="AM158" s="1185">
        <v>0</v>
      </c>
      <c r="AN158" s="1185">
        <v>0</v>
      </c>
      <c r="AO158" s="1185">
        <v>0</v>
      </c>
      <c r="AP158" s="1185">
        <v>0</v>
      </c>
      <c r="AQ158" s="1185">
        <v>0</v>
      </c>
      <c r="AR158" s="44">
        <v>11</v>
      </c>
    </row>
  </sheetData>
  <sheetProtection formatColumns="0" formatRows="0" insertRows="0" deleteColumns="0" deleteRows="0" sort="0" autoFilter="0"/>
  <mergeCells count="415">
    <mergeCell ref="J60:J63"/>
    <mergeCell ref="H60:H63"/>
    <mergeCell ref="I60:I63"/>
    <mergeCell ref="O60:O62"/>
    <mergeCell ref="S60:S61"/>
    <mergeCell ref="P60:P61"/>
    <mergeCell ref="Q60:Q61"/>
    <mergeCell ref="R60:R61"/>
    <mergeCell ref="K60:K63"/>
    <mergeCell ref="M60:M62"/>
    <mergeCell ref="L60:L62"/>
    <mergeCell ref="N60:N62"/>
    <mergeCell ref="J40:J43"/>
    <mergeCell ref="H40:H43"/>
    <mergeCell ref="I40:I43"/>
    <mergeCell ref="O45:O47"/>
    <mergeCell ref="S45:S46"/>
    <mergeCell ref="P45:P46"/>
    <mergeCell ref="Q45:Q46"/>
    <mergeCell ref="R45:R46"/>
    <mergeCell ref="K45:K48"/>
    <mergeCell ref="M45:M47"/>
    <mergeCell ref="L45:L47"/>
    <mergeCell ref="N45:N47"/>
    <mergeCell ref="J45:J48"/>
    <mergeCell ref="H45:H48"/>
    <mergeCell ref="I45:I48"/>
    <mergeCell ref="O40:O42"/>
    <mergeCell ref="S40:S41"/>
    <mergeCell ref="P40:P41"/>
    <mergeCell ref="Q40:Q41"/>
    <mergeCell ref="R40:R41"/>
    <mergeCell ref="K40:K43"/>
    <mergeCell ref="M40:M42"/>
    <mergeCell ref="L40:L42"/>
    <mergeCell ref="N40:N42"/>
    <mergeCell ref="H25:H28"/>
    <mergeCell ref="I25:I28"/>
    <mergeCell ref="J25:J28"/>
    <mergeCell ref="K25:K28"/>
    <mergeCell ref="L25:L27"/>
    <mergeCell ref="M25:M27"/>
    <mergeCell ref="N25:N27"/>
    <mergeCell ref="S25:S26"/>
    <mergeCell ref="O25:O27"/>
    <mergeCell ref="P25:P26"/>
    <mergeCell ref="Q25:Q26"/>
    <mergeCell ref="R25:R26"/>
    <mergeCell ref="N30:N32"/>
    <mergeCell ref="I30:I33"/>
    <mergeCell ref="L30:L32"/>
    <mergeCell ref="Q30:Q31"/>
    <mergeCell ref="R30:R31"/>
    <mergeCell ref="S30:S31"/>
    <mergeCell ref="P30:P31"/>
    <mergeCell ref="H30:H33"/>
    <mergeCell ref="J30:J33"/>
    <mergeCell ref="K30:K33"/>
    <mergeCell ref="M30:M32"/>
    <mergeCell ref="O30:O32"/>
    <mergeCell ref="H21:H24"/>
    <mergeCell ref="I21:I24"/>
    <mergeCell ref="J21:J24"/>
    <mergeCell ref="K21:K24"/>
    <mergeCell ref="L21:L23"/>
    <mergeCell ref="M21:M23"/>
    <mergeCell ref="N21:N23"/>
    <mergeCell ref="S21:S22"/>
    <mergeCell ref="O21:O23"/>
    <mergeCell ref="P21:P22"/>
    <mergeCell ref="Q21:Q22"/>
    <mergeCell ref="R21:R22"/>
    <mergeCell ref="J17:J20"/>
    <mergeCell ref="K17:K20"/>
    <mergeCell ref="L17:L19"/>
    <mergeCell ref="M17:M19"/>
    <mergeCell ref="N17:N19"/>
    <mergeCell ref="S17:S18"/>
    <mergeCell ref="O17:O19"/>
    <mergeCell ref="P17:P18"/>
    <mergeCell ref="Q17:Q18"/>
    <mergeCell ref="R17:R18"/>
    <mergeCell ref="S13:S14"/>
    <mergeCell ref="P13:P14"/>
    <mergeCell ref="Q13:Q14"/>
    <mergeCell ref="R13:R14"/>
    <mergeCell ref="K13:K16"/>
    <mergeCell ref="M13:M15"/>
    <mergeCell ref="L13:L15"/>
    <mergeCell ref="N13:N15"/>
    <mergeCell ref="J13:J16"/>
    <mergeCell ref="D70:D74"/>
    <mergeCell ref="M111:M113"/>
    <mergeCell ref="M70:M72"/>
    <mergeCell ref="N70:N72"/>
    <mergeCell ref="O70:O72"/>
    <mergeCell ref="P70:P71"/>
    <mergeCell ref="Q70:Q71"/>
    <mergeCell ref="R70:R71"/>
    <mergeCell ref="S70:S71"/>
    <mergeCell ref="D75:D79"/>
    <mergeCell ref="E75:E79"/>
    <mergeCell ref="F75:F79"/>
    <mergeCell ref="G75:G79"/>
    <mergeCell ref="H75:H78"/>
    <mergeCell ref="I75:I78"/>
    <mergeCell ref="J75:J78"/>
    <mergeCell ref="K75:K78"/>
    <mergeCell ref="L75:L77"/>
    <mergeCell ref="M75:M77"/>
    <mergeCell ref="N75:N77"/>
    <mergeCell ref="O75:O77"/>
    <mergeCell ref="P75:P76"/>
    <mergeCell ref="Q75:Q76"/>
    <mergeCell ref="R75:R76"/>
    <mergeCell ref="S75:S76"/>
    <mergeCell ref="E70:E74"/>
    <mergeCell ref="F70:F74"/>
    <mergeCell ref="G70:G74"/>
    <mergeCell ref="H70:H73"/>
    <mergeCell ref="I70:I73"/>
    <mergeCell ref="J70:J73"/>
    <mergeCell ref="K70:K73"/>
    <mergeCell ref="L70:L72"/>
    <mergeCell ref="D101:D105"/>
    <mergeCell ref="E101:E105"/>
    <mergeCell ref="M101:M103"/>
    <mergeCell ref="D106:D110"/>
    <mergeCell ref="E106:E110"/>
    <mergeCell ref="F106:F110"/>
    <mergeCell ref="G106:G110"/>
    <mergeCell ref="H106:H109"/>
    <mergeCell ref="I106:I109"/>
    <mergeCell ref="J106:J109"/>
    <mergeCell ref="K106:K109"/>
    <mergeCell ref="L106:L108"/>
    <mergeCell ref="F101:F105"/>
    <mergeCell ref="G101:G105"/>
    <mergeCell ref="H101:H104"/>
    <mergeCell ref="I101:I104"/>
    <mergeCell ref="J101:J104"/>
    <mergeCell ref="O91:O93"/>
    <mergeCell ref="P91:P92"/>
    <mergeCell ref="Q91:Q92"/>
    <mergeCell ref="R91:R92"/>
    <mergeCell ref="S91:S92"/>
    <mergeCell ref="M96:M98"/>
    <mergeCell ref="M106:M108"/>
    <mergeCell ref="N106:N108"/>
    <mergeCell ref="O106:O108"/>
    <mergeCell ref="P106:P107"/>
    <mergeCell ref="Q106:Q107"/>
    <mergeCell ref="R106:R107"/>
    <mergeCell ref="S106:S107"/>
    <mergeCell ref="O96:O98"/>
    <mergeCell ref="P96:P97"/>
    <mergeCell ref="S101:S102"/>
    <mergeCell ref="N101:N103"/>
    <mergeCell ref="O101:O103"/>
    <mergeCell ref="P101:P102"/>
    <mergeCell ref="Q101:Q102"/>
    <mergeCell ref="R101:R102"/>
    <mergeCell ref="L96:L98"/>
    <mergeCell ref="W9:W10"/>
    <mergeCell ref="O9:R9"/>
    <mergeCell ref="K9:N9"/>
    <mergeCell ref="T11:U11"/>
    <mergeCell ref="S9:V9"/>
    <mergeCell ref="T10:U10"/>
    <mergeCell ref="D91:D95"/>
    <mergeCell ref="E91:E95"/>
    <mergeCell ref="D96:D100"/>
    <mergeCell ref="E96:E100"/>
    <mergeCell ref="F96:F100"/>
    <mergeCell ref="G96:G100"/>
    <mergeCell ref="H96:H99"/>
    <mergeCell ref="I96:I99"/>
    <mergeCell ref="J96:J99"/>
    <mergeCell ref="F91:F95"/>
    <mergeCell ref="G91:G95"/>
    <mergeCell ref="H91:H94"/>
    <mergeCell ref="I91:I94"/>
    <mergeCell ref="J91:J94"/>
    <mergeCell ref="G30:G34"/>
    <mergeCell ref="Q96:Q97"/>
    <mergeCell ref="R96:R97"/>
    <mergeCell ref="S96:S97"/>
    <mergeCell ref="L10:M10"/>
    <mergeCell ref="P10:Q10"/>
    <mergeCell ref="L11:M11"/>
    <mergeCell ref="P11:Q11"/>
    <mergeCell ref="P35:P36"/>
    <mergeCell ref="Q35:Q36"/>
    <mergeCell ref="D5:J5"/>
    <mergeCell ref="D9:D10"/>
    <mergeCell ref="D7:J7"/>
    <mergeCell ref="G9:G10"/>
    <mergeCell ref="H9:I10"/>
    <mergeCell ref="D6:J6"/>
    <mergeCell ref="D13:D29"/>
    <mergeCell ref="E13:E29"/>
    <mergeCell ref="G13:G29"/>
    <mergeCell ref="J9:J10"/>
    <mergeCell ref="H11:I11"/>
    <mergeCell ref="E9:F9"/>
    <mergeCell ref="F13:F29"/>
    <mergeCell ref="O13:O15"/>
    <mergeCell ref="H13:H16"/>
    <mergeCell ref="I13:I16"/>
    <mergeCell ref="H17:H20"/>
    <mergeCell ref="I17:I20"/>
    <mergeCell ref="D30:D34"/>
    <mergeCell ref="E30:E34"/>
    <mergeCell ref="F30:F34"/>
    <mergeCell ref="D40:D44"/>
    <mergeCell ref="E40:E44"/>
    <mergeCell ref="F40:F44"/>
    <mergeCell ref="G40:G44"/>
    <mergeCell ref="D35:D39"/>
    <mergeCell ref="E35:E39"/>
    <mergeCell ref="F35:F39"/>
    <mergeCell ref="D45:D49"/>
    <mergeCell ref="E45:E49"/>
    <mergeCell ref="F45:F49"/>
    <mergeCell ref="P55:P56"/>
    <mergeCell ref="O50:O52"/>
    <mergeCell ref="Q55:Q56"/>
    <mergeCell ref="R55:R56"/>
    <mergeCell ref="O55:O57"/>
    <mergeCell ref="D65:D69"/>
    <mergeCell ref="E65:E69"/>
    <mergeCell ref="F65:F69"/>
    <mergeCell ref="H65:H68"/>
    <mergeCell ref="N55:N57"/>
    <mergeCell ref="G50:G54"/>
    <mergeCell ref="K50:K53"/>
    <mergeCell ref="G65:G69"/>
    <mergeCell ref="K65:K68"/>
    <mergeCell ref="N65:N67"/>
    <mergeCell ref="I65:I68"/>
    <mergeCell ref="J65:J68"/>
    <mergeCell ref="L65:L67"/>
    <mergeCell ref="M65:M67"/>
    <mergeCell ref="L55:L57"/>
    <mergeCell ref="M55:M57"/>
    <mergeCell ref="G45:G49"/>
    <mergeCell ref="S50:S51"/>
    <mergeCell ref="S55:S56"/>
    <mergeCell ref="E50:E54"/>
    <mergeCell ref="F50:F54"/>
    <mergeCell ref="H50:H53"/>
    <mergeCell ref="P50:P51"/>
    <mergeCell ref="Q50:Q51"/>
    <mergeCell ref="R50:R51"/>
    <mergeCell ref="K55:K58"/>
    <mergeCell ref="I55:I58"/>
    <mergeCell ref="J55:J58"/>
    <mergeCell ref="I50:I53"/>
    <mergeCell ref="J50:J53"/>
    <mergeCell ref="L50:L52"/>
    <mergeCell ref="M50:M52"/>
    <mergeCell ref="P65:P66"/>
    <mergeCell ref="Q65:Q66"/>
    <mergeCell ref="R65:R66"/>
    <mergeCell ref="S65:S66"/>
    <mergeCell ref="M117:M119"/>
    <mergeCell ref="N117:N119"/>
    <mergeCell ref="O117:O119"/>
    <mergeCell ref="P117:P118"/>
    <mergeCell ref="Q117:Q118"/>
    <mergeCell ref="R117:R118"/>
    <mergeCell ref="S117:S118"/>
    <mergeCell ref="O65:O67"/>
    <mergeCell ref="E89:W89"/>
    <mergeCell ref="E81:W81"/>
    <mergeCell ref="E82:W82"/>
    <mergeCell ref="E83:W83"/>
    <mergeCell ref="E84:W84"/>
    <mergeCell ref="E85:W85"/>
    <mergeCell ref="L91:L93"/>
    <mergeCell ref="M91:M93"/>
    <mergeCell ref="E87:W87"/>
    <mergeCell ref="E88:W88"/>
    <mergeCell ref="K101:K104"/>
    <mergeCell ref="L101:L103"/>
    <mergeCell ref="N50:N52"/>
    <mergeCell ref="D117:D121"/>
    <mergeCell ref="E117:E121"/>
    <mergeCell ref="F117:F121"/>
    <mergeCell ref="G117:G121"/>
    <mergeCell ref="H117:H120"/>
    <mergeCell ref="I117:I120"/>
    <mergeCell ref="J117:J120"/>
    <mergeCell ref="K117:K120"/>
    <mergeCell ref="L117:L119"/>
    <mergeCell ref="E55:E59"/>
    <mergeCell ref="F55:F59"/>
    <mergeCell ref="H55:H58"/>
    <mergeCell ref="G55:G59"/>
    <mergeCell ref="D50:D54"/>
    <mergeCell ref="D60:D64"/>
    <mergeCell ref="E60:E64"/>
    <mergeCell ref="F60:F64"/>
    <mergeCell ref="G60:G64"/>
    <mergeCell ref="D55:D59"/>
    <mergeCell ref="K96:K99"/>
    <mergeCell ref="K91:K94"/>
    <mergeCell ref="N96:N98"/>
    <mergeCell ref="N91:N93"/>
    <mergeCell ref="S133:S134"/>
    <mergeCell ref="D133:D137"/>
    <mergeCell ref="E133:E137"/>
    <mergeCell ref="F133:F137"/>
    <mergeCell ref="G133:G137"/>
    <mergeCell ref="M122:M124"/>
    <mergeCell ref="N122:N124"/>
    <mergeCell ref="O122:O124"/>
    <mergeCell ref="P122:P123"/>
    <mergeCell ref="Q122:Q123"/>
    <mergeCell ref="R122:R123"/>
    <mergeCell ref="S122:S123"/>
    <mergeCell ref="D122:D126"/>
    <mergeCell ref="E122:E126"/>
    <mergeCell ref="F122:F126"/>
    <mergeCell ref="G122:G126"/>
    <mergeCell ref="H122:H125"/>
    <mergeCell ref="I122:I125"/>
    <mergeCell ref="J122:J125"/>
    <mergeCell ref="K122:K125"/>
    <mergeCell ref="L122:L124"/>
    <mergeCell ref="O133:O135"/>
    <mergeCell ref="M138:M140"/>
    <mergeCell ref="N138:N140"/>
    <mergeCell ref="O138:O140"/>
    <mergeCell ref="P133:P134"/>
    <mergeCell ref="Q133:Q134"/>
    <mergeCell ref="R133:R134"/>
    <mergeCell ref="P138:P139"/>
    <mergeCell ref="Q138:Q139"/>
    <mergeCell ref="R138:R139"/>
    <mergeCell ref="F111:F115"/>
    <mergeCell ref="G111:G115"/>
    <mergeCell ref="H111:H114"/>
    <mergeCell ref="I111:I114"/>
    <mergeCell ref="J111:J114"/>
    <mergeCell ref="K111:K114"/>
    <mergeCell ref="L111:L113"/>
    <mergeCell ref="S138:S139"/>
    <mergeCell ref="D138:D142"/>
    <mergeCell ref="E138:E142"/>
    <mergeCell ref="F138:F142"/>
    <mergeCell ref="G138:G142"/>
    <mergeCell ref="H138:H141"/>
    <mergeCell ref="I138:I141"/>
    <mergeCell ref="J138:J141"/>
    <mergeCell ref="K138:K141"/>
    <mergeCell ref="L138:L140"/>
    <mergeCell ref="H133:H136"/>
    <mergeCell ref="I133:I136"/>
    <mergeCell ref="J133:J136"/>
    <mergeCell ref="K133:K136"/>
    <mergeCell ref="L133:L135"/>
    <mergeCell ref="M133:M135"/>
    <mergeCell ref="N133:N135"/>
    <mergeCell ref="N111:N113"/>
    <mergeCell ref="O111:O113"/>
    <mergeCell ref="P111:P112"/>
    <mergeCell ref="Q111:Q112"/>
    <mergeCell ref="R111:R112"/>
    <mergeCell ref="S111:S112"/>
    <mergeCell ref="D127:D131"/>
    <mergeCell ref="E127:E131"/>
    <mergeCell ref="F127:F131"/>
    <mergeCell ref="G127:G131"/>
    <mergeCell ref="H127:H130"/>
    <mergeCell ref="I127:I130"/>
    <mergeCell ref="J127:J130"/>
    <mergeCell ref="K127:K130"/>
    <mergeCell ref="L127:L129"/>
    <mergeCell ref="M127:M129"/>
    <mergeCell ref="N127:N129"/>
    <mergeCell ref="O127:O129"/>
    <mergeCell ref="P127:P128"/>
    <mergeCell ref="Q127:Q128"/>
    <mergeCell ref="R127:R128"/>
    <mergeCell ref="S127:S128"/>
    <mergeCell ref="D111:D115"/>
    <mergeCell ref="E111:E115"/>
    <mergeCell ref="M143:M145"/>
    <mergeCell ref="N143:N145"/>
    <mergeCell ref="O143:O145"/>
    <mergeCell ref="P143:P144"/>
    <mergeCell ref="Q143:Q144"/>
    <mergeCell ref="R143:R144"/>
    <mergeCell ref="S143:S144"/>
    <mergeCell ref="D143:D147"/>
    <mergeCell ref="E143:E147"/>
    <mergeCell ref="F143:F147"/>
    <mergeCell ref="G143:G147"/>
    <mergeCell ref="H143:H146"/>
    <mergeCell ref="I143:I146"/>
    <mergeCell ref="J143:J146"/>
    <mergeCell ref="K143:K146"/>
    <mergeCell ref="L143:L145"/>
    <mergeCell ref="R35:R36"/>
    <mergeCell ref="S35:S36"/>
    <mergeCell ref="G35:G39"/>
    <mergeCell ref="H35:H38"/>
    <mergeCell ref="I35:I38"/>
    <mergeCell ref="J35:J38"/>
    <mergeCell ref="K35:K38"/>
    <mergeCell ref="L35:L37"/>
    <mergeCell ref="M35:M37"/>
    <mergeCell ref="N35:N37"/>
    <mergeCell ref="O35:O37"/>
  </mergeCells>
  <dataValidations count="135">
    <dataValidation allowBlank="1" showInputMessage="1" showErrorMessage="1" prompt="Для выбора выполните двойной щелчок левой клавиши мыши по соответствующей ячейке." sqref="K50:K51 K55:K56 O50:O51 O55:O56 S50:S51 S55:S56 K91:K92 O91:O92 S91:S92 K96:K97 O96:O97 S96:S97 K106:K107 O106:O107 S106:S107 K101:K102 O101:O102 S65:S66 S101:S102 K65:K66 O65:O66 O143:O144 O117:O118 S117:S118 O122:O123 S122:S123 K117:K118 K122:K123 S111:S112 K138:K139 O138:O139 K133:K134 O133:O134 S138:S139 O127:O128 S133:S134 O70:O71 S70:S71 K70:K71 K75:K76 O75:O76 S75:S76 F91:F115 K111:K112 O111:O112 F117:F131 S127:S128 K127:K128 F133:F147 S143:S144 K143:K144 F13:F16 F29:F79 K35:K36 O35:O36 S35:S36"/>
    <dataValidation type="textLength" operator="lessThanOrEqual" allowBlank="1" showInputMessage="1" showErrorMessage="1" errorTitle="Ошибка" error="Допускается ввод не более 900 символов!" sqref="J50:J51 J55:J56 R50:R51 R55:R56 V50:W50 V55:W55 J91:J92 R91:R92 V91:W91 J96:J97 R96:R97 V96:W96 J106:J107 R106:R107 V106:W106 J101:J102 R101:R102 V101:W101 J65:J66 R65:R66 V65:W65 J117:J118 R117:R118 V117:W117 J122:J123 R122:R123 V122:W122 J138:J139 R138:R139 V138:W138 J133:J134 R133:R134 V133:W133 J70:J71 R70:R71 V70:W70 J75:J76 R75:R76 V75:W75 J111:J112 R111:R112 V111:W111 J127:J128 R127:R128 V127:W127 J143:J144 R143:R144 V143:W143 J35:J36 R35:R36 V35:W35">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5:N57 N50:N52 N91:N93 N106:N108 N96:N98 N101:N103 N65:N67 N117:N119 N122:N124 N138:N140 N133:N135 N70:N72 N75:N77 N111:N113 N127:N129 N143:N145 N35:N37">
      <formula1>DESCRIPTION_TERRITORY</formula1>
    </dataValidation>
    <dataValidation allowBlank="1" showInputMessage="1" showErrorMessage="1" prompt="Выберите виды деятельности, выполнив двойной щелчок левой кнопки мыши по ячейке." sqref="G117:G131 G133:G147 G91:G115 G13:G16 G29:G79"/>
    <dataValidation type="list" allowBlank="1" showInputMessage="1" showErrorMessage="1" errorTitle="Ошибка" error="Выберите значение из списка" prompt="Выберите значение из списка" sqref="E30:E34">
      <formula1>kind_of_tariff_RHEAT</formula1>
    </dataValidation>
    <dataValidation type="textLength" operator="lessThanOrEqual" allowBlank="1" showInputMessage="1" showErrorMessage="1" errorTitle="Ошибка" error="Допускается ввод не более 900 символов!" sqref="J13">
      <formula1>900</formula1>
    </dataValidation>
    <dataValidation allowBlank="1" showInputMessage="1" showErrorMessage="1" prompt="Для выбора выполните двойной щелчок левой клавиши мыши по соответствующей ячейке." sqref="K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dataValidation allowBlank="1" showInputMessage="1" showErrorMessage="1" prompt="Для выбора выполните двойной щелчок левой клавиши мыши по соответствующей ячейке." sqref="O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J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Для выбора выполните двойной щелчок левой клавиши мыши по соответствующей ячейке." sqref="S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dataValidation allowBlank="1" showInputMessage="1" showErrorMessage="1" prompt="Для выбора выполните двойной щелчок левой клавиши мыши по соответствующей ячейке." sqref="F17"/>
    <dataValidation allowBlank="1" showInputMessage="1" showErrorMessage="1" prompt="Выберите виды деятельности, выполнив двойной щелчок левой кнопки мыши по ячейке." sqref="G17"/>
    <dataValidation type="textLength" operator="lessThanOrEqual" allowBlank="1" showInputMessage="1" showErrorMessage="1" errorTitle="Ошибка" error="Допускается ввод не более 900 символов!" sqref="J17">
      <formula1>900</formula1>
    </dataValidation>
    <dataValidation allowBlank="1" showInputMessage="1" showErrorMessage="1" prompt="Для выбора выполните двойной щелчок левой клавиши мыши по соответствующей ячейке." sqref="K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
    <dataValidation allowBlank="1" showInputMessage="1" showErrorMessage="1" prompt="Для выбора выполните двойной щелчок левой клавиши мыши по соответствующей ячейке." sqref="O17"/>
    <dataValidation type="textLength" operator="lessThanOrEqual" allowBlank="1" showInputMessage="1" showErrorMessage="1" errorTitle="Ошибка" error="Допускается ввод не более 900 символов!" sqref="R17">
      <formula1>900</formula1>
    </dataValidation>
    <dataValidation allowBlank="1" showInputMessage="1" showErrorMessage="1" prompt="Для выбора выполните двойной щелчок левой клавиши мыши по соответствующей ячейке." sqref="S17"/>
    <dataValidation type="textLength" operator="lessThanOrEqual" allowBlank="1" showInputMessage="1" showErrorMessage="1" errorTitle="Ошибка" error="Допускается ввод не более 900 символов!" sqref="V17">
      <formula1>900</formula1>
    </dataValidation>
    <dataValidation type="textLength" operator="lessThanOrEqual" allowBlank="1" showInputMessage="1" showErrorMessage="1" errorTitle="Ошибка" error="Допускается ввод не более 900 символов!" sqref="W17">
      <formula1>900</formula1>
    </dataValidation>
    <dataValidation allowBlank="1" showInputMessage="1" showErrorMessage="1" prompt="Для выбора выполните двойной щелчок левой клавиши мыши по соответствующей ячейке." sqref="F18"/>
    <dataValidation allowBlank="1" showInputMessage="1" showErrorMessage="1" prompt="Выберите виды деятельности, выполнив двойной щелчок левой кнопки мыши по ячейке." sqref="G18"/>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allowBlank="1" showInputMessage="1" showErrorMessage="1" prompt="Для выбора выполните двойной щелчок левой клавиши мыши по соответствующей ячейке." sqref="F19"/>
    <dataValidation allowBlank="1" showInputMessage="1" showErrorMessage="1" prompt="Выберите виды деятельности, выполнив двойной щелчок левой кнопки мыши по ячейке." sqref="G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allowBlank="1" showInputMessage="1" showErrorMessage="1" prompt="Для выбора выполните двойной щелчок левой клавиши мыши по соответствующей ячейке." sqref="F20"/>
    <dataValidation allowBlank="1" showInputMessage="1" showErrorMessage="1" prompt="Выберите виды деятельности, выполнив двойной щелчок левой кнопки мыши по ячейке." sqref="G20"/>
    <dataValidation allowBlank="1" showInputMessage="1" showErrorMessage="1" prompt="Для выбора выполните двойной щелчок левой клавиши мыши по соответствующей ячейке." sqref="F21"/>
    <dataValidation allowBlank="1" showInputMessage="1" showErrorMessage="1" prompt="Выберите виды деятельности, выполнив двойной щелчок левой кнопки мыши по ячейке." sqref="G21"/>
    <dataValidation type="textLength" operator="lessThanOrEqual" allowBlank="1" showInputMessage="1" showErrorMessage="1" errorTitle="Ошибка" error="Допускается ввод не более 900 символов!" sqref="J21">
      <formula1>900</formula1>
    </dataValidation>
    <dataValidation allowBlank="1" showInputMessage="1" showErrorMessage="1" prompt="Для выбора выполните двойной щелчок левой клавиши мыши по соответствующей ячейке." sqref="K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
    <dataValidation allowBlank="1" showInputMessage="1" showErrorMessage="1" prompt="Для выбора выполните двойной щелчок левой клавиши мыши по соответствующей ячейке." sqref="O21"/>
    <dataValidation type="textLength" operator="lessThanOrEqual" allowBlank="1" showInputMessage="1" showErrorMessage="1" errorTitle="Ошибка" error="Допускается ввод не более 900 символов!" sqref="R21">
      <formula1>900</formula1>
    </dataValidation>
    <dataValidation allowBlank="1" showInputMessage="1" showErrorMessage="1" prompt="Для выбора выполните двойной щелчок левой клавиши мыши по соответствующей ячейке." sqref="S21"/>
    <dataValidation type="textLength" operator="lessThanOrEqual" allowBlank="1" showInputMessage="1" showErrorMessage="1" errorTitle="Ошибка" error="Допускается ввод не более 900 символов!" sqref="V21">
      <formula1>900</formula1>
    </dataValidation>
    <dataValidation type="textLength" operator="lessThanOrEqual" allowBlank="1" showInputMessage="1" showErrorMessage="1" errorTitle="Ошибка" error="Допускается ввод не более 900 символов!" sqref="W21">
      <formula1>900</formula1>
    </dataValidation>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Выберите виды деятельности, выполнив двойной щелчок левой кнопки мыши по ячейке." sqref="G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Для выбора выполните двойной щелчок левой клавиши мыши по соответствующей ячейке." sqref="S22"/>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Выберите виды деятельности, выполнив двойной щелчок левой кнопки мыши по ячейке." sqref="G24"/>
    <dataValidation type="textLength" operator="lessThanOrEqual" allowBlank="1" showInputMessage="1" showErrorMessage="1" errorTitle="Ошибка" error="Допускается ввод не более 900 символов!" sqref="J30">
      <formula1>900</formula1>
    </dataValidation>
    <dataValidation allowBlank="1" showInputMessage="1" showErrorMessage="1" prompt="Для выбора выполните двойной щелчок левой клавиши мыши по соответствующей ячейке." sqref="K3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30"/>
    <dataValidation type="textLength" operator="lessThanOrEqual" allowBlank="1" showInputMessage="1" showErrorMessage="1" errorTitle="Ошибка" error="Допускается ввод не более 900 символов!" sqref="R30">
      <formula1>900</formula1>
    </dataValidation>
    <dataValidation allowBlank="1" showInputMessage="1" showErrorMessage="1" prompt="Для выбора выполните двойной щелчок левой клавиши мыши по соответствующей ячейке." sqref="S30"/>
    <dataValidation type="textLength" operator="lessThanOrEqual" allowBlank="1" showInputMessage="1" showErrorMessage="1" errorTitle="Ошибка" error="Допускается ввод не более 900 символов!" sqref="V30">
      <formula1>900</formula1>
    </dataValidation>
    <dataValidation type="textLength" operator="lessThanOrEqual" allowBlank="1" showInputMessage="1" showErrorMessage="1" errorTitle="Ошибка" error="Допускается ввод не более 900 символов!" sqref="W30">
      <formula1>900</formula1>
    </dataValidation>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Для выбора выполните двойной щелчок левой клавиши мыши по соответствующей ячейке." sqref="K31"/>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Для выбора выполните двойной щелчок левой клавиши мыши по соответствующей ячейке." sqref="S31"/>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formula1>DESCRIPTION_TERRITORY</formula1>
    </dataValidation>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Выберите виды деятельности, выполнив двойной щелчок левой кнопки мыши по ячейке." sqref="G25"/>
    <dataValidation type="textLength" operator="lessThanOrEqual" allowBlank="1" showInputMessage="1" showErrorMessage="1" errorTitle="Ошибка" error="Допускается ввод не более 900 символов!" sqref="J25">
      <formula1>900</formula1>
    </dataValidation>
    <dataValidation allowBlank="1" showInputMessage="1" showErrorMessage="1" prompt="Для выбора выполните двойной щелчок левой клавиши мыши по соответствующей ячейке." sqref="K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dataValidation allowBlank="1" showInputMessage="1" showErrorMessage="1" prompt="Для выбора выполните двойной щелчок левой клавиши мыши по соответствующей ячейке." sqref="O25"/>
    <dataValidation type="textLength" operator="lessThanOrEqual" allowBlank="1" showInputMessage="1" showErrorMessage="1" errorTitle="Ошибка" error="Допускается ввод не более 900 символов!" sqref="R25">
      <formula1>900</formula1>
    </dataValidation>
    <dataValidation allowBlank="1" showInputMessage="1" showErrorMessage="1" prompt="Для выбора выполните двойной щелчок левой клавиши мыши по соответствующей ячейке." sqref="S25"/>
    <dataValidation type="textLength" operator="lessThanOrEqual" allowBlank="1" showInputMessage="1" showErrorMessage="1" errorTitle="Ошибка" error="Допускается ввод не более 900 символов!" sqref="V25">
      <formula1>900</formula1>
    </dataValidation>
    <dataValidation type="textLength" operator="lessThanOrEqual" allowBlank="1" showInputMessage="1" showErrorMessage="1" errorTitle="Ошибка" error="Допускается ввод не более 900 символов!" sqref="W25">
      <formula1>900</formula1>
    </dataValidation>
    <dataValidation allowBlank="1" showInputMessage="1" showErrorMessage="1" prompt="Для выбора выполните двойной щелчок левой клавиши мыши по соответствующей ячейке." sqref="F26"/>
    <dataValidation allowBlank="1" showInputMessage="1" showErrorMessage="1" prompt="Выберите виды деятельности, выполнив двойной щелчок левой кнопки мыши по ячейке." sqref="G26"/>
    <dataValidation type="textLength" operator="lessThanOrEqual" allowBlank="1" showInputMessage="1" showErrorMessage="1" errorTitle="Ошибка" error="Допускается ввод не более 900 символов!" sqref="J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type="textLength" operator="lessThanOrEqual" allowBlank="1" showInputMessage="1" showErrorMessage="1" errorTitle="Ошибка" error="Допускается ввод не более 900 символов!" sqref="R26">
      <formula1>900</formula1>
    </dataValidation>
    <dataValidation allowBlank="1" showInputMessage="1" showErrorMessage="1" prompt="Для выбора выполните двойной щелчок левой клавиши мыши по соответствующей ячейке." sqref="S26"/>
    <dataValidation allowBlank="1" showInputMessage="1" showErrorMessage="1" prompt="Для выбора выполните двойной щелчок левой клавиши мыши по соответствующей ячейке." sqref="F27"/>
    <dataValidation allowBlank="1" showInputMessage="1" showErrorMessage="1" prompt="Выберите виды деятельности, выполнив двойной щелчок левой кнопки мыши по ячейке." sqref="G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allowBlank="1" showInputMessage="1" showErrorMessage="1" prompt="Для выбора выполните двойной щелчок левой клавиши мыши по соответствующей ячейке." sqref="F28"/>
    <dataValidation allowBlank="1" showInputMessage="1" showErrorMessage="1" prompt="Выберите виды деятельности, выполнив двойной щелчок левой кнопки мыши по ячейке." sqref="G28"/>
    <dataValidation type="textLength" operator="lessThanOrEqual" allowBlank="1" showInputMessage="1" showErrorMessage="1" errorTitle="Ошибка" error="Допускается ввод не более 900 символов!" sqref="J40">
      <formula1>900</formula1>
    </dataValidation>
    <dataValidation allowBlank="1" showInputMessage="1" showErrorMessage="1" prompt="Для выбора выполните двойной щелчок левой клавиши мыши по соответствующей ячейке." sqref="K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Для выбора выполните двойной щелчок левой клавиши мыши по соответствующей ячейке." sqref="O40"/>
    <dataValidation type="textLength" operator="lessThanOrEqual" allowBlank="1" showInputMessage="1" showErrorMessage="1" errorTitle="Ошибка" error="Допускается ввод не более 900 символов!" sqref="R40">
      <formula1>900</formula1>
    </dataValidation>
    <dataValidation allowBlank="1" showInputMessage="1" showErrorMessage="1" prompt="Для выбора выполните двойной щелчок левой клавиши мыши по соответствующей ячейке." sqref="S40"/>
    <dataValidation type="textLength" operator="lessThanOrEqual" allowBlank="1" showInputMessage="1" showErrorMessage="1" errorTitle="Ошибка" error="Допускается ввод не более 900 символов!" sqref="V40">
      <formula1>900</formula1>
    </dataValidation>
    <dataValidation type="textLength" operator="lessThanOrEqual" allowBlank="1" showInputMessage="1" showErrorMessage="1" errorTitle="Ошибка" error="Допускается ввод не более 900 символов!" sqref="W40">
      <formula1>900</formula1>
    </dataValidation>
    <dataValidation type="textLength" operator="lessThanOrEqual" allowBlank="1" showInputMessage="1" showErrorMessage="1" errorTitle="Ошибка" error="Допускается ввод не более 900 символов!" sqref="J4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1"/>
    <dataValidation type="textLength" operator="lessThanOrEqual" allowBlank="1" showInputMessage="1" showErrorMessage="1" errorTitle="Ошибка" error="Допускается ввод не более 900 символов!" sqref="R41">
      <formula1>900</formula1>
    </dataValidation>
    <dataValidation allowBlank="1" showInputMessage="1" showErrorMessage="1" prompt="Для выбора выполните двойной щелчок левой клавиши мыши по соответствующей ячейке." sqref="S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type="textLength" operator="lessThanOrEqual" allowBlank="1" showInputMessage="1" showErrorMessage="1" errorTitle="Ошибка" error="Допускается ввод не более 900 символов!" sqref="J45">
      <formula1>900</formula1>
    </dataValidation>
    <dataValidation allowBlank="1" showInputMessage="1" showErrorMessage="1" prompt="Для выбора выполните двойной щелчок левой клавиши мыши по соответствующей ячейке." sqref="K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dataValidation allowBlank="1" showInputMessage="1" showErrorMessage="1" prompt="Для выбора выполните двойной щелчок левой клавиши мыши по соответствующей ячейке." sqref="O45"/>
    <dataValidation type="textLength" operator="lessThanOrEqual" allowBlank="1" showInputMessage="1" showErrorMessage="1" errorTitle="Ошибка" error="Допускается ввод не более 900 символов!" sqref="R45">
      <formula1>900</formula1>
    </dataValidation>
    <dataValidation allowBlank="1" showInputMessage="1" showErrorMessage="1" prompt="Для выбора выполните двойной щелчок левой клавиши мыши по соответствующей ячейке." sqref="S45"/>
    <dataValidation type="textLength" operator="lessThanOrEqual" allowBlank="1" showInputMessage="1" showErrorMessage="1" errorTitle="Ошибка" error="Допускается ввод не более 900 символов!" sqref="V45">
      <formula1>900</formula1>
    </dataValidation>
    <dataValidation type="textLength" operator="lessThanOrEqual" allowBlank="1" showInputMessage="1" showErrorMessage="1" errorTitle="Ошибка" error="Допускается ввод не более 900 символов!" sqref="W45">
      <formula1>900</formula1>
    </dataValidation>
    <dataValidation type="textLength" operator="lessThanOrEqual" allowBlank="1" showInputMessage="1" showErrorMessage="1" errorTitle="Ошибка" error="Допускается ввод не более 900 символов!" sqref="J4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type="textLength" operator="lessThanOrEqual" allowBlank="1" showInputMessage="1" showErrorMessage="1" errorTitle="Ошибка" error="Допускается ввод не более 900 символов!" sqref="R46">
      <formula1>900</formula1>
    </dataValidation>
    <dataValidation allowBlank="1" showInputMessage="1" showErrorMessage="1" prompt="Для выбора выполните двойной щелчок левой клавиши мыши по соответствующей ячейке." sqref="S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type="textLength" operator="lessThanOrEqual" allowBlank="1" showInputMessage="1" showErrorMessage="1" errorTitle="Ошибка" error="Допускается ввод не более 900 символов!" sqref="J60">
      <formula1>900</formula1>
    </dataValidation>
    <dataValidation allowBlank="1" showInputMessage="1" showErrorMessage="1" prompt="Для выбора выполните двойной щелчок левой клавиши мыши по соответствующей ячейке." sqref="K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O60"/>
    <dataValidation type="textLength" operator="lessThanOrEqual" allowBlank="1" showInputMessage="1" showErrorMessage="1" errorTitle="Ошибка" error="Допускается ввод не более 900 символов!" sqref="R60">
      <formula1>900</formula1>
    </dataValidation>
    <dataValidation allowBlank="1" showInputMessage="1" showErrorMessage="1" prompt="Для выбора выполните двойной щелчок левой клавиши мыши по соответствующей ячейке." sqref="S60"/>
    <dataValidation type="textLength" operator="lessThanOrEqual" allowBlank="1" showInputMessage="1" showErrorMessage="1" errorTitle="Ошибка" error="Допускается ввод не более 900 символов!" sqref="V60">
      <formula1>900</formula1>
    </dataValidation>
    <dataValidation type="textLength" operator="lessThanOrEqual" allowBlank="1" showInputMessage="1" showErrorMessage="1" errorTitle="Ошибка" error="Допускается ввод не более 900 символов!" sqref="W60">
      <formula1>900</formula1>
    </dataValidation>
    <dataValidation type="textLength" operator="lessThanOrEqual" allowBlank="1" showInputMessage="1" showErrorMessage="1" errorTitle="Ошибка" error="Допускается ввод не более 900 символов!" sqref="J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1"/>
    <dataValidation type="textLength" operator="lessThanOrEqual" allowBlank="1" showInputMessage="1" showErrorMessage="1" errorTitle="Ошибка" error="Допускается ввод не более 900 символов!" sqref="R61">
      <formula1>900</formula1>
    </dataValidation>
    <dataValidation allowBlank="1" showInputMessage="1" showErrorMessage="1" prompt="Для выбора выполните двойной щелчок левой клавиши мыши по соответствующей ячейке." sqref="S6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2"/>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4"/>
      <c r="D2" s="283"/>
      <c r="E2" s="609"/>
      <c r="F2" s="458"/>
      <c r="G2" s="552"/>
      <c r="H2" s="552"/>
      <c r="I2" s="552"/>
      <c r="J2" s="552"/>
      <c r="U2" s="610"/>
      <c r="V2" s="445">
        <v>0</v>
      </c>
    </row>
    <row r="3" spans="1:22" s="1292" customFormat="1" ht="15" hidden="1" customHeight="1">
      <c r="C3" s="608"/>
      <c r="U3" s="356"/>
      <c r="V3" s="353">
        <v>0</v>
      </c>
    </row>
    <row r="4" spans="1:22" ht="15.75" customHeight="1">
      <c r="C4" s="114"/>
      <c r="D4" s="445"/>
      <c r="E4" s="445"/>
      <c r="F4" s="445"/>
      <c r="G4" s="445"/>
      <c r="H4" s="445"/>
      <c r="I4" s="445"/>
      <c r="J4" s="445"/>
      <c r="V4" s="441">
        <v>15</v>
      </c>
    </row>
    <row r="5" spans="1:22" ht="66" customHeight="1">
      <c r="C5" s="114"/>
      <c r="D5" s="5359" t="s">
        <v>1196</v>
      </c>
      <c r="E5" s="5359"/>
      <c r="F5" s="5359"/>
      <c r="G5" s="5359"/>
      <c r="H5" s="5359"/>
      <c r="I5" s="5359"/>
      <c r="J5" s="5359"/>
      <c r="V5" s="441">
        <v>63</v>
      </c>
    </row>
    <row r="6" spans="1:22" ht="15.75" customHeight="1">
      <c r="C6" s="114"/>
      <c r="D6" s="5331" t="str">
        <f>IF(org=0,"Не определено",org)</f>
        <v>ПАО "ТГК-1" филиал "Невский"</v>
      </c>
      <c r="E6" s="5331"/>
      <c r="F6" s="5331"/>
      <c r="G6" s="5331"/>
      <c r="H6" s="5331"/>
      <c r="I6" s="5331"/>
      <c r="J6" s="5331"/>
      <c r="K6" s="473"/>
      <c r="V6" s="441">
        <v>15</v>
      </c>
    </row>
    <row r="7" spans="1:22" ht="15.75" customHeight="1">
      <c r="C7" s="114"/>
      <c r="D7" s="688"/>
      <c r="E7" s="445"/>
      <c r="F7" s="445"/>
      <c r="G7" s="473">
        <v>22</v>
      </c>
      <c r="I7" s="473">
        <v>1</v>
      </c>
      <c r="J7" s="688"/>
      <c r="V7" s="441">
        <v>15</v>
      </c>
    </row>
    <row r="8" spans="1:22" s="1561" customFormat="1" ht="1.1499999999999999" customHeight="1">
      <c r="A8" s="693"/>
      <c r="C8" s="114"/>
      <c r="D8" s="445"/>
      <c r="E8" s="445"/>
      <c r="F8" s="445"/>
      <c r="G8" s="473"/>
      <c r="H8" s="688"/>
      <c r="I8" s="473" t="s">
        <v>119</v>
      </c>
      <c r="J8" s="688"/>
      <c r="K8" s="353"/>
      <c r="U8" s="611"/>
      <c r="V8" s="692">
        <v>1</v>
      </c>
    </row>
    <row r="9" spans="1:22" ht="15.75" customHeight="1">
      <c r="C9" s="114"/>
      <c r="D9" s="647"/>
      <c r="E9" s="5478" t="s">
        <v>107</v>
      </c>
      <c r="F9" s="5479"/>
      <c r="G9" s="5503" t="str">
        <f>IF(G8="","",INDEX(DIFFERENTIATION_UNMERGE_VD,MATCH(G8,DIFFERENTIATION_ID_DIFF,0)))</f>
        <v/>
      </c>
      <c r="H9" s="5504"/>
      <c r="I9" s="5503">
        <f>IF(I8="","",INDEX(DIFFERENTIATION_UNMERGE_VD,MATCH(I8,DIFFERENTIATION_ID_DIFF,0)))</f>
        <v>0</v>
      </c>
      <c r="J9" s="5504"/>
      <c r="K9" s="5311" t="s">
        <v>328</v>
      </c>
      <c r="V9" s="441">
        <v>15</v>
      </c>
    </row>
    <row r="10" spans="1:22" s="1561" customFormat="1" ht="15.75" customHeight="1">
      <c r="A10" s="693"/>
      <c r="C10" s="114"/>
      <c r="D10" s="647"/>
      <c r="E10" s="5478" t="s">
        <v>596</v>
      </c>
      <c r="F10" s="5479"/>
      <c r="G10" s="5503" t="str">
        <f>IF(G8="","",INDEX(DIFFERENTIATION_UNMERGE_AREA,MATCH(G8,DIFFERENTIATION_ID_DIFF,0)))</f>
        <v/>
      </c>
      <c r="H10" s="5504"/>
      <c r="I10" s="5503" t="str">
        <f>IF(I8="","",INDEX(DIFFERENTIATION_UNMERGE_AREA,MATCH(I8,DIFFERENTIATION_ID_DIFF,0)))</f>
        <v/>
      </c>
      <c r="J10" s="5504"/>
      <c r="K10" s="5316"/>
      <c r="U10" s="611"/>
      <c r="V10" s="692">
        <v>15</v>
      </c>
    </row>
    <row r="11" spans="1:22" s="1561" customFormat="1" ht="15.75" customHeight="1">
      <c r="A11" s="693"/>
      <c r="C11" s="114"/>
      <c r="D11" s="647"/>
      <c r="E11" s="5478" t="s">
        <v>597</v>
      </c>
      <c r="F11" s="5479"/>
      <c r="G11" s="5503" t="str">
        <f>IF(G8="","",INDEX(DIFFERENTIATION_UNMERGE_SYSTEM,MATCH(G8,DIFFERENTIATION_ID_DIFF,0)))</f>
        <v/>
      </c>
      <c r="H11" s="5504"/>
      <c r="I11" s="5503" t="str">
        <f>IF(I8="","",INDEX(DIFFERENTIATION_UNMERGE_SYSTEM,MATCH(I8,DIFFERENTIATION_ID_DIFF,0)))</f>
        <v>без дифференциации</v>
      </c>
      <c r="J11" s="5504"/>
      <c r="K11" s="5316"/>
      <c r="U11" s="611"/>
      <c r="V11" s="692">
        <v>15</v>
      </c>
    </row>
    <row r="12" spans="1:22" s="1561" customFormat="1" ht="15.75" customHeight="1">
      <c r="A12" s="693"/>
      <c r="C12" s="114"/>
      <c r="D12" s="5480" t="s">
        <v>327</v>
      </c>
      <c r="E12" s="5481"/>
      <c r="F12" s="5481"/>
      <c r="G12" s="816"/>
      <c r="H12" s="816"/>
      <c r="I12" s="816"/>
      <c r="J12" s="816"/>
      <c r="K12" s="5316"/>
      <c r="U12" s="611"/>
      <c r="V12" s="692">
        <v>15</v>
      </c>
    </row>
    <row r="13" spans="1:22" ht="35.65" customHeight="1">
      <c r="C13" s="114"/>
      <c r="D13" s="735" t="s">
        <v>90</v>
      </c>
      <c r="E13" s="737" t="s">
        <v>329</v>
      </c>
      <c r="F13" s="737" t="s">
        <v>598</v>
      </c>
      <c r="G13" s="738" t="s">
        <v>330</v>
      </c>
      <c r="H13" s="737" t="s">
        <v>417</v>
      </c>
      <c r="I13" s="738" t="s">
        <v>330</v>
      </c>
      <c r="J13" s="737" t="s">
        <v>417</v>
      </c>
      <c r="K13" s="5364"/>
      <c r="V13" s="441">
        <v>34</v>
      </c>
    </row>
    <row r="14" spans="1:22" ht="15" hidden="1" customHeight="1">
      <c r="C14" s="114"/>
      <c r="D14" s="529" t="s">
        <v>111</v>
      </c>
      <c r="E14" s="529" t="s">
        <v>112</v>
      </c>
      <c r="F14" s="529" t="s">
        <v>92</v>
      </c>
      <c r="G14" s="595" t="str">
        <f>G1&amp;".1"</f>
        <v>4.1</v>
      </c>
      <c r="H14" s="595"/>
      <c r="I14" s="595" t="str">
        <f>I1&amp;".1"</f>
        <v>4.1</v>
      </c>
      <c r="J14" s="595"/>
      <c r="K14" s="226"/>
      <c r="V14" s="441">
        <v>0</v>
      </c>
    </row>
    <row r="15" spans="1:22" ht="22.5" hidden="1" customHeight="1">
      <c r="A15" s="441"/>
      <c r="C15" s="462"/>
      <c r="D15" s="457">
        <v>1</v>
      </c>
      <c r="E15" s="613" t="s">
        <v>840</v>
      </c>
      <c r="F15" s="457" t="s">
        <v>841</v>
      </c>
      <c r="G15" s="614"/>
      <c r="H15" s="614"/>
      <c r="I15" s="614"/>
      <c r="J15" s="614"/>
      <c r="K15" s="226" t="s">
        <v>842</v>
      </c>
      <c r="V15" s="441">
        <v>0</v>
      </c>
    </row>
    <row r="16" spans="1:22" ht="22.5" hidden="1" customHeight="1">
      <c r="A16" s="441"/>
      <c r="C16" s="462"/>
      <c r="D16" s="457">
        <v>2</v>
      </c>
      <c r="E16" s="216" t="s">
        <v>843</v>
      </c>
      <c r="F16" s="457" t="s">
        <v>844</v>
      </c>
      <c r="G16" s="614"/>
      <c r="H16" s="614"/>
      <c r="I16" s="614"/>
      <c r="J16" s="614"/>
      <c r="K16" s="226" t="s">
        <v>845</v>
      </c>
      <c r="V16" s="441">
        <v>0</v>
      </c>
    </row>
    <row r="17" spans="1:22" ht="123.75" hidden="1" customHeight="1">
      <c r="A17" s="441"/>
      <c r="C17" s="462"/>
      <c r="D17" s="457">
        <v>3</v>
      </c>
      <c r="E17" s="216" t="s">
        <v>1197</v>
      </c>
      <c r="F17" s="457" t="s">
        <v>333</v>
      </c>
      <c r="G17" s="614"/>
      <c r="H17" s="614"/>
      <c r="I17" s="614"/>
      <c r="J17" s="614"/>
      <c r="K17" s="226" t="s">
        <v>1198</v>
      </c>
      <c r="V17" s="441">
        <v>0</v>
      </c>
    </row>
    <row r="18" spans="1:22" ht="48.2" customHeight="1">
      <c r="A18" s="441"/>
      <c r="C18" s="462"/>
      <c r="D18" s="457">
        <v>3</v>
      </c>
      <c r="E18" s="216" t="s">
        <v>846</v>
      </c>
      <c r="F18" s="457" t="s">
        <v>333</v>
      </c>
      <c r="G18" s="739" t="s">
        <v>333</v>
      </c>
      <c r="H18" s="740" t="s">
        <v>333</v>
      </c>
      <c r="I18" s="457" t="s">
        <v>333</v>
      </c>
      <c r="J18" s="514" t="s">
        <v>333</v>
      </c>
      <c r="K18" s="226" t="s">
        <v>1199</v>
      </c>
      <c r="V18" s="441">
        <v>46</v>
      </c>
    </row>
    <row r="19" spans="1:22" ht="35.65" customHeight="1">
      <c r="A19" s="441"/>
      <c r="C19" s="462"/>
      <c r="D19" s="475" t="s">
        <v>351</v>
      </c>
      <c r="E19" s="495" t="s">
        <v>848</v>
      </c>
      <c r="F19" s="457" t="s">
        <v>849</v>
      </c>
      <c r="G19" s="747"/>
      <c r="H19" s="46"/>
      <c r="I19" s="747"/>
      <c r="J19" s="748"/>
      <c r="K19" s="615"/>
      <c r="V19" s="441">
        <v>34</v>
      </c>
    </row>
    <row r="20" spans="1:22" ht="35.65" customHeight="1">
      <c r="A20" s="441"/>
      <c r="C20" s="462"/>
      <c r="D20" s="1814" t="s">
        <v>359</v>
      </c>
      <c r="E20" s="495" t="s">
        <v>850</v>
      </c>
      <c r="F20" s="457" t="s">
        <v>851</v>
      </c>
      <c r="G20" s="747"/>
      <c r="H20" s="46"/>
      <c r="I20" s="747"/>
      <c r="J20" s="46"/>
      <c r="K20" s="615"/>
      <c r="V20" s="441">
        <v>34</v>
      </c>
    </row>
    <row r="21" spans="1:22" ht="48.2" customHeight="1">
      <c r="A21" s="441"/>
      <c r="C21" s="462"/>
      <c r="D21" s="1814" t="s">
        <v>361</v>
      </c>
      <c r="E21" s="495" t="s">
        <v>852</v>
      </c>
      <c r="F21" s="457" t="s">
        <v>603</v>
      </c>
      <c r="G21" s="616"/>
      <c r="H21" s="46"/>
      <c r="I21" s="616"/>
      <c r="J21" s="46"/>
      <c r="K21" s="615"/>
      <c r="V21" s="441">
        <v>46</v>
      </c>
    </row>
    <row r="22" spans="1:22" ht="67.5" hidden="1" customHeight="1">
      <c r="A22" s="441"/>
      <c r="C22" s="462"/>
      <c r="D22" s="457">
        <v>5</v>
      </c>
      <c r="E22" s="216" t="s">
        <v>1200</v>
      </c>
      <c r="F22" s="457" t="s">
        <v>590</v>
      </c>
      <c r="G22" s="617"/>
      <c r="H22" s="618"/>
      <c r="I22" s="617"/>
      <c r="J22" s="618"/>
      <c r="K22" s="226" t="s">
        <v>1201</v>
      </c>
      <c r="V22" s="441">
        <v>0</v>
      </c>
    </row>
    <row r="23" spans="1:22" ht="33.75" hidden="1" customHeight="1">
      <c r="C23" s="387"/>
      <c r="D23" s="457">
        <v>6</v>
      </c>
      <c r="E23" s="216" t="s">
        <v>1202</v>
      </c>
      <c r="F23" s="457" t="s">
        <v>1203</v>
      </c>
      <c r="G23" s="617"/>
      <c r="H23" s="617"/>
      <c r="I23" s="617"/>
      <c r="J23" s="617"/>
      <c r="K23" s="226" t="s">
        <v>1204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1205</v>
      </c>
      <c r="B1" s="996" t="s">
        <v>1206</v>
      </c>
      <c r="C1" s="996" t="s">
        <v>1207</v>
      </c>
      <c r="D1" s="996" t="s">
        <v>1208</v>
      </c>
      <c r="E1" s="996" t="s">
        <v>1209</v>
      </c>
      <c r="F1" s="996" t="s">
        <v>1210</v>
      </c>
      <c r="G1" s="996" t="s">
        <v>1211</v>
      </c>
      <c r="H1" s="996" t="s">
        <v>1212</v>
      </c>
      <c r="I1" s="996" t="s">
        <v>1213</v>
      </c>
      <c r="J1" s="996" t="s">
        <v>1214</v>
      </c>
      <c r="K1" s="996" t="s">
        <v>1215</v>
      </c>
      <c r="L1" s="996" t="s">
        <v>1216</v>
      </c>
      <c r="M1" s="996"/>
      <c r="N1" s="996" t="s">
        <v>1217</v>
      </c>
      <c r="O1" s="996" t="s">
        <v>1218</v>
      </c>
      <c r="P1" s="996" t="s">
        <v>1219</v>
      </c>
      <c r="Q1" s="996" t="s">
        <v>1220</v>
      </c>
      <c r="R1" s="996" t="s">
        <v>1221</v>
      </c>
      <c r="S1" s="996" t="s">
        <v>1222</v>
      </c>
      <c r="T1" s="996" t="s">
        <v>1223</v>
      </c>
      <c r="U1" s="996" t="s">
        <v>1224</v>
      </c>
      <c r="V1" s="996"/>
      <c r="W1" s="727" t="s">
        <v>1225</v>
      </c>
      <c r="X1" s="996" t="s">
        <v>1226</v>
      </c>
      <c r="Y1" s="996" t="s">
        <v>1227</v>
      </c>
      <c r="Z1" s="996"/>
      <c r="AA1" s="996" t="s">
        <v>1228</v>
      </c>
      <c r="AB1" s="996"/>
      <c r="AC1" s="996" t="s">
        <v>1229</v>
      </c>
      <c r="AD1" s="996"/>
      <c r="AF1" s="996" t="s">
        <v>1230</v>
      </c>
      <c r="AH1" s="996" t="s">
        <v>1231</v>
      </c>
      <c r="AI1" s="996" t="s">
        <v>1232</v>
      </c>
      <c r="AK1" s="996" t="s">
        <v>1233</v>
      </c>
      <c r="AM1" s="996" t="s">
        <v>1234</v>
      </c>
      <c r="AP1" s="996" t="s">
        <v>1235</v>
      </c>
      <c r="AQ1" s="996" t="s">
        <v>1236</v>
      </c>
      <c r="AS1" s="996" t="s">
        <v>1237</v>
      </c>
      <c r="AU1" s="996" t="s">
        <v>1238</v>
      </c>
      <c r="AW1" s="996" t="s">
        <v>1239</v>
      </c>
      <c r="AX1" s="996" t="s">
        <v>1240</v>
      </c>
      <c r="AZ1" s="1078" t="s">
        <v>1241</v>
      </c>
      <c r="BB1" s="996" t="s">
        <v>1242</v>
      </c>
      <c r="BC1" s="996"/>
      <c r="BE1" s="996" t="s">
        <v>1243</v>
      </c>
      <c r="BF1" s="996" t="s">
        <v>1244</v>
      </c>
      <c r="BH1" s="998" t="s">
        <v>839</v>
      </c>
      <c r="BI1" s="999"/>
      <c r="BJ1" s="1000" t="s">
        <v>1245</v>
      </c>
      <c r="BK1" s="999"/>
      <c r="BL1" s="1001" t="s">
        <v>938</v>
      </c>
      <c r="BM1" s="999"/>
      <c r="BN1" s="1002" t="s">
        <v>1246</v>
      </c>
    </row>
    <row r="2" spans="1:79" ht="11.25" customHeight="1">
      <c r="A2" s="1003" t="s">
        <v>1247</v>
      </c>
      <c r="B2" s="1004">
        <v>2000</v>
      </c>
      <c r="C2" s="1004">
        <v>2022</v>
      </c>
      <c r="D2" s="1004" t="s">
        <v>65</v>
      </c>
      <c r="E2" s="1005" t="s">
        <v>1248</v>
      </c>
      <c r="F2" s="1005" t="s">
        <v>1249</v>
      </c>
      <c r="G2" s="1005" t="s">
        <v>1250</v>
      </c>
      <c r="H2" s="1006" t="s">
        <v>59</v>
      </c>
      <c r="I2" s="1005" t="s">
        <v>111</v>
      </c>
      <c r="J2" s="1005" t="s">
        <v>1251</v>
      </c>
      <c r="K2" s="1007" t="s">
        <v>1252</v>
      </c>
      <c r="L2" s="1008"/>
      <c r="M2" s="1007">
        <v>1</v>
      </c>
      <c r="N2" s="1088" t="s">
        <v>1253</v>
      </c>
      <c r="O2" s="1006" t="s">
        <v>473</v>
      </c>
      <c r="P2" s="1009" t="s">
        <v>1254</v>
      </c>
      <c r="Q2" s="1010" t="s">
        <v>472</v>
      </c>
      <c r="R2" s="82" t="s">
        <v>474</v>
      </c>
      <c r="S2" s="82" t="s">
        <v>1255</v>
      </c>
      <c r="T2" s="1011" t="s">
        <v>1256</v>
      </c>
      <c r="U2" s="1008" t="s">
        <v>1257</v>
      </c>
      <c r="V2" s="1012">
        <v>1</v>
      </c>
      <c r="W2" s="1013"/>
      <c r="X2" s="1013" t="s">
        <v>1258</v>
      </c>
      <c r="Y2" s="1004" t="s">
        <v>1259</v>
      </c>
      <c r="Z2" s="1014"/>
      <c r="AA2" s="1004" t="s">
        <v>1260</v>
      </c>
      <c r="AB2" s="1015" t="s">
        <v>1260</v>
      </c>
      <c r="AC2" s="1004" t="s">
        <v>218</v>
      </c>
      <c r="AD2" s="1015" t="s">
        <v>218</v>
      </c>
      <c r="AF2" s="1006" t="s">
        <v>1257</v>
      </c>
      <c r="AH2" s="1005" t="s">
        <v>1261</v>
      </c>
      <c r="AI2" s="1005" t="s">
        <v>1261</v>
      </c>
      <c r="AK2" s="1005" t="s">
        <v>1262</v>
      </c>
      <c r="AM2" s="1005" t="s">
        <v>1263</v>
      </c>
      <c r="AP2" s="1016" t="s">
        <v>1258</v>
      </c>
      <c r="AQ2" s="1017" t="s">
        <v>1258</v>
      </c>
      <c r="AS2" s="1004" t="s">
        <v>1264</v>
      </c>
      <c r="AU2" s="1046" t="s">
        <v>1265</v>
      </c>
      <c r="AW2" s="1046" t="s">
        <v>1266</v>
      </c>
      <c r="AX2" s="1046" t="s">
        <v>1266</v>
      </c>
      <c r="AZ2" s="1046" t="s">
        <v>1267</v>
      </c>
      <c r="BB2" s="1046" t="s">
        <v>1268</v>
      </c>
      <c r="BC2" s="1046" t="s">
        <v>1269</v>
      </c>
      <c r="BE2" s="1046">
        <v>2000</v>
      </c>
      <c r="BF2" s="1046" t="s">
        <v>1270</v>
      </c>
    </row>
    <row r="3" spans="1:79" ht="11.25" customHeight="1">
      <c r="A3" s="1003" t="s">
        <v>1271</v>
      </c>
      <c r="B3" s="1004">
        <v>2001</v>
      </c>
      <c r="C3" s="1004">
        <v>2023</v>
      </c>
      <c r="D3" s="1004" t="s">
        <v>19</v>
      </c>
      <c r="E3" s="1005" t="s">
        <v>1272</v>
      </c>
      <c r="F3" s="1005" t="s">
        <v>1273</v>
      </c>
      <c r="G3" s="1005" t="s">
        <v>1274</v>
      </c>
      <c r="H3" s="1006" t="s">
        <v>1275</v>
      </c>
      <c r="I3" s="1005" t="s">
        <v>112</v>
      </c>
      <c r="J3" s="1005" t="s">
        <v>588</v>
      </c>
      <c r="K3" s="1007" t="s">
        <v>1276</v>
      </c>
      <c r="L3" s="1008">
        <f>IFERROR(MATCH(K3,OFFER_METHOD,0),0)</f>
        <v>0</v>
      </c>
      <c r="M3" s="1007">
        <v>2</v>
      </c>
      <c r="N3" s="1088" t="s">
        <v>1277</v>
      </c>
      <c r="O3" s="1006" t="s">
        <v>1278</v>
      </c>
      <c r="P3" s="1009" t="s">
        <v>37</v>
      </c>
      <c r="Q3" s="1010" t="s">
        <v>476</v>
      </c>
      <c r="R3" s="82" t="s">
        <v>1279</v>
      </c>
      <c r="S3" s="82" t="s">
        <v>1280</v>
      </c>
      <c r="T3" s="1011" t="s">
        <v>1281</v>
      </c>
      <c r="U3" s="1008" t="s">
        <v>1282</v>
      </c>
      <c r="V3" s="1012">
        <v>2</v>
      </c>
      <c r="W3" s="1013"/>
      <c r="X3" s="1013" t="s">
        <v>1283</v>
      </c>
      <c r="Y3" s="1004" t="s">
        <v>1259</v>
      </c>
      <c r="Z3" s="1014"/>
      <c r="AA3" s="1004" t="s">
        <v>1284</v>
      </c>
      <c r="AB3" s="1015" t="s">
        <v>1284</v>
      </c>
      <c r="AC3" s="1004" t="s">
        <v>1285</v>
      </c>
      <c r="AD3" s="1015" t="s">
        <v>1285</v>
      </c>
      <c r="AF3" s="1006" t="s">
        <v>1282</v>
      </c>
      <c r="AH3" s="1005" t="s">
        <v>1286</v>
      </c>
      <c r="AI3" s="1005" t="s">
        <v>1287</v>
      </c>
      <c r="AK3" s="1005" t="s">
        <v>1288</v>
      </c>
      <c r="AM3" s="1005" t="s">
        <v>1289</v>
      </c>
      <c r="AP3" s="1016" t="s">
        <v>1290</v>
      </c>
      <c r="AQ3" s="1017" t="s">
        <v>1290</v>
      </c>
      <c r="AS3" s="1004" t="s">
        <v>1291</v>
      </c>
      <c r="AU3" s="1046" t="s">
        <v>1292</v>
      </c>
      <c r="AW3" s="1046" t="s">
        <v>1293</v>
      </c>
      <c r="AX3" s="1046" t="s">
        <v>1293</v>
      </c>
      <c r="AZ3" s="1046" t="s">
        <v>57</v>
      </c>
      <c r="BB3" s="1046" t="s">
        <v>1294</v>
      </c>
      <c r="BC3" s="1046" t="s">
        <v>1269</v>
      </c>
      <c r="BE3" s="1046">
        <v>2001</v>
      </c>
      <c r="BF3" s="1046" t="s">
        <v>1295</v>
      </c>
      <c r="BH3" s="996" t="s">
        <v>1296</v>
      </c>
      <c r="BJ3" s="996" t="s">
        <v>1297</v>
      </c>
      <c r="BL3" s="996" t="s">
        <v>1298</v>
      </c>
      <c r="BN3" s="996" t="s">
        <v>1299</v>
      </c>
      <c r="BR3" s="996" t="s">
        <v>1300</v>
      </c>
      <c r="BS3" s="1354"/>
      <c r="BT3" s="999"/>
      <c r="BU3" s="996" t="s">
        <v>1301</v>
      </c>
      <c r="BV3" s="999"/>
      <c r="BW3" s="1616"/>
      <c r="BX3" s="1618" t="s">
        <v>1302</v>
      </c>
      <c r="CA3" s="996" t="s">
        <v>1303</v>
      </c>
    </row>
    <row r="4" spans="1:79" ht="11.25" customHeight="1">
      <c r="A4" s="1003" t="s">
        <v>1304</v>
      </c>
      <c r="B4" s="1004">
        <v>2002</v>
      </c>
      <c r="C4" s="1004">
        <v>2024</v>
      </c>
      <c r="E4" s="1005" t="s">
        <v>1305</v>
      </c>
      <c r="F4" s="1005" t="s">
        <v>1306</v>
      </c>
      <c r="H4" s="1006" t="s">
        <v>1307</v>
      </c>
      <c r="I4" s="1005" t="s">
        <v>92</v>
      </c>
      <c r="J4" s="1005" t="s">
        <v>1308</v>
      </c>
      <c r="K4" s="1007" t="s">
        <v>1309</v>
      </c>
      <c r="L4" s="1008">
        <f>IFERROR(MATCH(K4,OFFER_METHOD,0),0)</f>
        <v>0</v>
      </c>
      <c r="M4" s="1007">
        <v>3</v>
      </c>
      <c r="N4" s="1088" t="s">
        <v>1310</v>
      </c>
      <c r="O4" s="1005" t="s">
        <v>1311</v>
      </c>
      <c r="Q4" s="1010" t="s">
        <v>1312</v>
      </c>
      <c r="R4" s="82" t="s">
        <v>1313</v>
      </c>
      <c r="S4" s="82" t="s">
        <v>1314</v>
      </c>
      <c r="T4" s="1011" t="s">
        <v>1315</v>
      </c>
      <c r="U4" s="1008" t="s">
        <v>1316</v>
      </c>
      <c r="V4" s="1012">
        <v>3</v>
      </c>
      <c r="W4" s="1013"/>
      <c r="X4" s="1013" t="s">
        <v>1317</v>
      </c>
      <c r="Y4" s="1004" t="s">
        <v>1259</v>
      </c>
      <c r="Z4" s="1019"/>
      <c r="AC4" s="1004" t="s">
        <v>1318</v>
      </c>
      <c r="AD4" s="1015" t="s">
        <v>1318</v>
      </c>
      <c r="AF4" s="1006" t="s">
        <v>1316</v>
      </c>
      <c r="AH4" s="1006" t="s">
        <v>1319</v>
      </c>
      <c r="AK4" s="1005" t="s">
        <v>1320</v>
      </c>
      <c r="AM4" s="1005" t="s">
        <v>1321</v>
      </c>
      <c r="AP4" s="1016" t="s">
        <v>1283</v>
      </c>
      <c r="AQ4" s="1017" t="s">
        <v>1283</v>
      </c>
      <c r="AS4" s="1004" t="s">
        <v>1322</v>
      </c>
      <c r="AU4" s="1046" t="s">
        <v>1323</v>
      </c>
      <c r="AW4" s="1046" t="s">
        <v>1324</v>
      </c>
      <c r="AX4" s="1046" t="s">
        <v>1324</v>
      </c>
      <c r="AZ4" s="1046" t="s">
        <v>1325</v>
      </c>
      <c r="BB4" s="1046" t="s">
        <v>1326</v>
      </c>
      <c r="BC4" s="1046" t="s">
        <v>1327</v>
      </c>
      <c r="BE4" s="1046">
        <v>2002</v>
      </c>
      <c r="BF4" s="1046" t="s">
        <v>1328</v>
      </c>
      <c r="BH4" s="997" t="s">
        <v>1329</v>
      </c>
      <c r="BJ4" s="997" t="s">
        <v>1329</v>
      </c>
      <c r="BL4" s="997" t="s">
        <v>1329</v>
      </c>
      <c r="BN4" s="997" t="s">
        <v>1329</v>
      </c>
      <c r="BQ4" s="1358" t="s">
        <v>1330</v>
      </c>
      <c r="BR4" s="1085" t="s">
        <v>1331</v>
      </c>
      <c r="BS4" s="211"/>
      <c r="BT4" s="1358" t="s">
        <v>1332</v>
      </c>
      <c r="BU4" s="1085" t="s">
        <v>1333</v>
      </c>
      <c r="BV4" s="999"/>
      <c r="BW4" s="1623" t="s">
        <v>1334</v>
      </c>
      <c r="BX4" s="1617" t="s">
        <v>1335</v>
      </c>
      <c r="BZ4" s="1358" t="s">
        <v>1336</v>
      </c>
      <c r="CA4" s="1085" t="s">
        <v>1337</v>
      </c>
    </row>
    <row r="5" spans="1:79" ht="11.25" customHeight="1">
      <c r="A5" s="1003" t="s">
        <v>1338</v>
      </c>
      <c r="B5" s="1004">
        <v>2003</v>
      </c>
      <c r="C5" s="1004">
        <v>2025</v>
      </c>
      <c r="E5" s="1005" t="s">
        <v>1339</v>
      </c>
      <c r="F5" s="1005" t="s">
        <v>1340</v>
      </c>
      <c r="H5" s="1006" t="s">
        <v>1341</v>
      </c>
      <c r="I5" s="1005" t="s">
        <v>93</v>
      </c>
      <c r="K5" s="1007" t="s">
        <v>1342</v>
      </c>
      <c r="L5" s="1008">
        <f>IFERROR(MATCH(K5,OFFER_METHOD,0),0)</f>
        <v>0</v>
      </c>
      <c r="M5" s="1007">
        <v>4</v>
      </c>
      <c r="N5" s="1020" t="s">
        <v>1343</v>
      </c>
      <c r="O5" s="1005" t="s">
        <v>1344</v>
      </c>
      <c r="Q5" s="1010" t="s">
        <v>1345</v>
      </c>
      <c r="R5" s="82" t="s">
        <v>479</v>
      </c>
      <c r="T5" s="1006" t="s">
        <v>1346</v>
      </c>
      <c r="U5" s="1008" t="s">
        <v>1347</v>
      </c>
      <c r="V5" s="1012">
        <v>4</v>
      </c>
      <c r="W5" s="1013"/>
      <c r="X5" s="1013" t="s">
        <v>189</v>
      </c>
      <c r="Y5" s="1004" t="s">
        <v>1348</v>
      </c>
      <c r="Z5" s="1019">
        <v>1</v>
      </c>
      <c r="AF5" s="1006" t="s">
        <v>1349</v>
      </c>
      <c r="AH5" s="1005" t="s">
        <v>1350</v>
      </c>
      <c r="AK5" s="1005" t="s">
        <v>1351</v>
      </c>
      <c r="AM5" s="1005" t="s">
        <v>1352</v>
      </c>
      <c r="AP5" s="1016" t="s">
        <v>189</v>
      </c>
      <c r="AQ5" s="1017" t="s">
        <v>189</v>
      </c>
      <c r="AU5" s="1046" t="s">
        <v>1353</v>
      </c>
      <c r="AW5" s="1046" t="s">
        <v>1354</v>
      </c>
      <c r="AX5" s="1046" t="s">
        <v>1354</v>
      </c>
      <c r="AZ5" s="1046" t="s">
        <v>1355</v>
      </c>
      <c r="BB5" s="1046" t="s">
        <v>1356</v>
      </c>
      <c r="BC5" s="1046" t="s">
        <v>1357</v>
      </c>
      <c r="BE5" s="1046">
        <v>2003</v>
      </c>
      <c r="BF5" s="1046" t="s">
        <v>1358</v>
      </c>
      <c r="BH5" s="997" t="s">
        <v>1359</v>
      </c>
      <c r="BJ5" s="997" t="s">
        <v>1359</v>
      </c>
      <c r="BL5" s="997" t="s">
        <v>1359</v>
      </c>
      <c r="BN5" s="997" t="s">
        <v>1360</v>
      </c>
      <c r="BQ5" s="1207">
        <v>4213775</v>
      </c>
      <c r="BR5" s="997" t="s">
        <v>1258</v>
      </c>
      <c r="BS5" s="1355"/>
      <c r="BT5" s="1207">
        <v>64236871</v>
      </c>
      <c r="BU5" s="997" t="s">
        <v>256</v>
      </c>
      <c r="BV5" s="999"/>
      <c r="BW5" s="1621">
        <v>4213767</v>
      </c>
      <c r="BX5" s="1619" t="s">
        <v>1361</v>
      </c>
      <c r="BZ5" s="1207">
        <v>64237509</v>
      </c>
      <c r="CA5" s="1221" t="s">
        <v>1362</v>
      </c>
    </row>
    <row r="6" spans="1:79" ht="11.25" customHeight="1">
      <c r="A6" s="1003" t="s">
        <v>1363</v>
      </c>
      <c r="B6" s="1004">
        <v>2004</v>
      </c>
      <c r="C6" s="1004">
        <v>2026</v>
      </c>
      <c r="E6" s="1005" t="s">
        <v>1364</v>
      </c>
      <c r="F6" s="1021"/>
      <c r="H6" s="1006" t="s">
        <v>1365</v>
      </c>
      <c r="I6" s="1005" t="s">
        <v>113</v>
      </c>
      <c r="J6" s="996" t="s">
        <v>1366</v>
      </c>
      <c r="L6" s="1008">
        <f>SUM(kind_of_control_method_filter)</f>
        <v>0</v>
      </c>
      <c r="N6" s="1020" t="s">
        <v>1367</v>
      </c>
      <c r="O6" s="1005" t="s">
        <v>1368</v>
      </c>
      <c r="R6" s="82" t="s">
        <v>472</v>
      </c>
      <c r="T6" s="1006" t="s">
        <v>1369</v>
      </c>
      <c r="U6" s="1008" t="s">
        <v>1349</v>
      </c>
      <c r="V6" s="1012">
        <v>5</v>
      </c>
      <c r="W6" s="1013"/>
      <c r="X6" s="1004" t="s">
        <v>197</v>
      </c>
      <c r="Y6" s="1004" t="s">
        <v>1370</v>
      </c>
      <c r="Z6" s="1019"/>
      <c r="AA6" s="1022"/>
      <c r="AH6" s="1005" t="s">
        <v>1371</v>
      </c>
      <c r="AK6" s="1005" t="s">
        <v>1372</v>
      </c>
      <c r="AM6" s="1005" t="s">
        <v>1373</v>
      </c>
      <c r="AP6" s="1016" t="s">
        <v>197</v>
      </c>
      <c r="AQ6" s="1017" t="s">
        <v>197</v>
      </c>
      <c r="AU6" s="1046" t="s">
        <v>1374</v>
      </c>
      <c r="AW6" s="1046" t="s">
        <v>1375</v>
      </c>
      <c r="AX6" s="1046" t="s">
        <v>1375</v>
      </c>
      <c r="BB6" s="1046" t="s">
        <v>1376</v>
      </c>
      <c r="BC6" s="1046" t="s">
        <v>1357</v>
      </c>
      <c r="BE6" s="1046">
        <v>2004</v>
      </c>
      <c r="BF6" s="1046" t="s">
        <v>1377</v>
      </c>
      <c r="BH6" s="997" t="s">
        <v>1378</v>
      </c>
      <c r="BJ6" s="997" t="s">
        <v>1379</v>
      </c>
      <c r="BL6" s="997" t="s">
        <v>1379</v>
      </c>
      <c r="BN6" s="997" t="s">
        <v>1380</v>
      </c>
      <c r="BQ6" s="1207">
        <v>4213784</v>
      </c>
      <c r="BR6" s="1221" t="s">
        <v>1290</v>
      </c>
      <c r="BS6" s="1356"/>
      <c r="BT6" s="1207">
        <v>64236872</v>
      </c>
      <c r="BU6" s="997" t="s">
        <v>261</v>
      </c>
      <c r="BV6" s="999"/>
      <c r="BW6" s="1621">
        <v>4213768</v>
      </c>
      <c r="BX6" s="1619" t="s">
        <v>281</v>
      </c>
      <c r="BZ6" s="1207">
        <v>64237510</v>
      </c>
      <c r="CA6" s="997" t="s">
        <v>1381</v>
      </c>
    </row>
    <row r="7" spans="1:79" ht="11.25" customHeight="1">
      <c r="A7" s="1003" t="s">
        <v>1382</v>
      </c>
      <c r="B7" s="1004">
        <v>2005</v>
      </c>
      <c r="E7" s="1005" t="s">
        <v>1383</v>
      </c>
      <c r="F7" s="1021"/>
      <c r="H7" s="1006" t="s">
        <v>1384</v>
      </c>
      <c r="I7" s="1005" t="s">
        <v>94</v>
      </c>
      <c r="J7" s="1005" t="s">
        <v>1385</v>
      </c>
      <c r="N7" s="1024" t="s">
        <v>1386</v>
      </c>
      <c r="O7" s="1005" t="s">
        <v>1387</v>
      </c>
      <c r="U7" s="1008" t="s">
        <v>19</v>
      </c>
      <c r="V7" s="306" t="s">
        <v>94</v>
      </c>
      <c r="W7" s="1013"/>
      <c r="X7" s="1004" t="s">
        <v>205</v>
      </c>
      <c r="Y7" s="1004" t="s">
        <v>1348</v>
      </c>
      <c r="Z7" s="1019"/>
      <c r="AA7" s="1022"/>
      <c r="AH7" s="1005" t="s">
        <v>1388</v>
      </c>
      <c r="AK7" s="1005" t="s">
        <v>1389</v>
      </c>
      <c r="AM7" s="1005" t="s">
        <v>1390</v>
      </c>
      <c r="AP7" s="1016" t="s">
        <v>205</v>
      </c>
      <c r="AQ7" s="1017" t="s">
        <v>205</v>
      </c>
      <c r="AU7" s="1046" t="s">
        <v>1391</v>
      </c>
      <c r="AW7" s="1046" t="s">
        <v>1392</v>
      </c>
      <c r="AX7" s="1046" t="s">
        <v>1392</v>
      </c>
      <c r="AZ7" s="996" t="s">
        <v>1393</v>
      </c>
      <c r="BB7" s="1046" t="s">
        <v>1394</v>
      </c>
      <c r="BC7" s="1046" t="s">
        <v>1357</v>
      </c>
      <c r="BE7" s="1046">
        <v>2005</v>
      </c>
      <c r="BF7" s="1046" t="s">
        <v>1395</v>
      </c>
      <c r="BH7" s="997" t="s">
        <v>1396</v>
      </c>
      <c r="BJ7" s="997" t="s">
        <v>1378</v>
      </c>
      <c r="BL7" s="997" t="s">
        <v>1378</v>
      </c>
      <c r="BN7" s="997" t="s">
        <v>1397</v>
      </c>
      <c r="BQ7" s="1207">
        <v>4213781</v>
      </c>
      <c r="BR7" s="997" t="s">
        <v>1283</v>
      </c>
      <c r="BS7" s="1355"/>
      <c r="BT7" s="1207">
        <v>64236873</v>
      </c>
      <c r="BU7" s="997" t="s">
        <v>266</v>
      </c>
      <c r="BV7" s="999"/>
      <c r="BW7" s="1621">
        <v>4213769</v>
      </c>
      <c r="BX7" s="1619" t="s">
        <v>1398</v>
      </c>
      <c r="BZ7" s="1207">
        <v>64237511</v>
      </c>
      <c r="CA7" s="997" t="s">
        <v>296</v>
      </c>
    </row>
    <row r="8" spans="1:79" ht="11.25" customHeight="1">
      <c r="A8" s="1003" t="s">
        <v>1399</v>
      </c>
      <c r="B8" s="1004">
        <v>2006</v>
      </c>
      <c r="E8" s="1005" t="s">
        <v>1400</v>
      </c>
      <c r="F8" s="1021"/>
      <c r="H8" s="1006" t="s">
        <v>1401</v>
      </c>
      <c r="I8" s="1005" t="s">
        <v>95</v>
      </c>
      <c r="J8" s="1005" t="s">
        <v>1402</v>
      </c>
      <c r="N8" s="1089" t="s">
        <v>1403</v>
      </c>
      <c r="O8" s="1005" t="s">
        <v>1404</v>
      </c>
      <c r="V8" s="306" t="s">
        <v>95</v>
      </c>
      <c r="W8" s="1013"/>
      <c r="X8" s="1004" t="s">
        <v>211</v>
      </c>
      <c r="Y8" s="1004" t="s">
        <v>1348</v>
      </c>
      <c r="Z8" s="1019"/>
      <c r="AA8" s="1022"/>
      <c r="AK8" s="1005" t="s">
        <v>1405</v>
      </c>
      <c r="AP8" s="1016" t="s">
        <v>211</v>
      </c>
      <c r="AQ8" s="1017" t="s">
        <v>211</v>
      </c>
      <c r="AU8" s="1046" t="s">
        <v>1406</v>
      </c>
      <c r="AW8" s="1046" t="s">
        <v>1407</v>
      </c>
      <c r="AX8" s="1046" t="s">
        <v>1407</v>
      </c>
      <c r="AZ8" s="1046" t="s">
        <v>1408</v>
      </c>
      <c r="BB8" s="1046" t="s">
        <v>1409</v>
      </c>
      <c r="BC8" s="1046" t="s">
        <v>1357</v>
      </c>
      <c r="BE8" s="1046">
        <v>2006</v>
      </c>
      <c r="BF8" s="1046" t="s">
        <v>1410</v>
      </c>
      <c r="BH8" s="997" t="s">
        <v>1411</v>
      </c>
      <c r="BJ8" s="997" t="s">
        <v>1412</v>
      </c>
      <c r="BL8" s="997" t="s">
        <v>1412</v>
      </c>
      <c r="BN8" s="997" t="s">
        <v>1413</v>
      </c>
      <c r="BQ8" s="1207">
        <v>4213776</v>
      </c>
      <c r="BR8" s="997" t="s">
        <v>189</v>
      </c>
      <c r="BS8" s="1355"/>
      <c r="BT8" s="1207">
        <v>64236874</v>
      </c>
      <c r="BU8" s="1221" t="s">
        <v>1414</v>
      </c>
      <c r="BV8" s="999"/>
      <c r="BW8" s="1621">
        <v>4213770</v>
      </c>
      <c r="BX8" s="1622" t="s">
        <v>1415</v>
      </c>
      <c r="BZ8" s="1207">
        <v>64237512</v>
      </c>
      <c r="CA8" s="997" t="s">
        <v>291</v>
      </c>
    </row>
    <row r="9" spans="1:79" ht="11.25" customHeight="1">
      <c r="A9" s="1003" t="s">
        <v>1416</v>
      </c>
      <c r="B9" s="1004">
        <v>2007</v>
      </c>
      <c r="E9" s="1005" t="s">
        <v>1417</v>
      </c>
      <c r="F9" s="1021"/>
      <c r="G9" s="996" t="s">
        <v>1418</v>
      </c>
      <c r="H9" s="996" t="s">
        <v>1419</v>
      </c>
      <c r="I9" s="1005" t="s">
        <v>114</v>
      </c>
      <c r="O9" s="1005" t="s">
        <v>1420</v>
      </c>
      <c r="V9" s="306" t="s">
        <v>114</v>
      </c>
      <c r="W9" s="1013"/>
      <c r="X9" s="1004" t="s">
        <v>217</v>
      </c>
      <c r="Y9" s="1004" t="s">
        <v>1259</v>
      </c>
      <c r="Z9" s="1019">
        <v>1</v>
      </c>
      <c r="AA9" s="1022"/>
      <c r="AK9" s="1005" t="s">
        <v>1421</v>
      </c>
      <c r="AP9" s="1016" t="s">
        <v>1422</v>
      </c>
      <c r="AQ9" s="1017" t="s">
        <v>1422</v>
      </c>
      <c r="AW9" s="1046" t="s">
        <v>1423</v>
      </c>
      <c r="AX9" s="1046" t="s">
        <v>1423</v>
      </c>
      <c r="AZ9" s="1046" t="s">
        <v>1424</v>
      </c>
      <c r="BB9" s="1046" t="s">
        <v>1425</v>
      </c>
      <c r="BC9" s="1046" t="s">
        <v>1357</v>
      </c>
      <c r="BE9" s="1046">
        <v>2007</v>
      </c>
      <c r="BF9" s="1046" t="s">
        <v>1426</v>
      </c>
      <c r="BH9" s="997" t="s">
        <v>1427</v>
      </c>
      <c r="BJ9" s="997" t="s">
        <v>1428</v>
      </c>
      <c r="BL9" s="997" t="s">
        <v>1428</v>
      </c>
      <c r="BN9" s="997" t="s">
        <v>1429</v>
      </c>
      <c r="BQ9" s="1207">
        <v>4213777</v>
      </c>
      <c r="BR9" s="997" t="s">
        <v>197</v>
      </c>
      <c r="BS9" s="1355"/>
      <c r="BT9" s="1207">
        <v>64236875</v>
      </c>
      <c r="BU9" s="997" t="s">
        <v>271</v>
      </c>
      <c r="BV9" s="999"/>
      <c r="BW9" s="1616"/>
      <c r="BX9" s="1616"/>
    </row>
    <row r="10" spans="1:79" ht="11.25" customHeight="1">
      <c r="A10" s="1003" t="s">
        <v>1430</v>
      </c>
      <c r="B10" s="1004">
        <v>2008</v>
      </c>
      <c r="E10" s="1005" t="s">
        <v>1431</v>
      </c>
      <c r="F10" s="1021"/>
      <c r="G10" s="1005" t="s">
        <v>1432</v>
      </c>
      <c r="H10" s="1005" t="s">
        <v>1433</v>
      </c>
      <c r="I10" s="1005" t="s">
        <v>101</v>
      </c>
      <c r="J10" s="996" t="s">
        <v>1434</v>
      </c>
      <c r="K10" s="996" t="s">
        <v>1435</v>
      </c>
      <c r="O10" s="1005" t="s">
        <v>493</v>
      </c>
      <c r="V10" s="307" t="s">
        <v>101</v>
      </c>
      <c r="W10" s="1025"/>
      <c r="X10" s="1025" t="s">
        <v>1436</v>
      </c>
      <c r="Y10" s="1026" t="s">
        <v>1437</v>
      </c>
      <c r="Z10" s="1019"/>
      <c r="AP10" s="1016" t="s">
        <v>1436</v>
      </c>
      <c r="AQ10" s="1017" t="s">
        <v>1436</v>
      </c>
      <c r="AW10" s="1046" t="s">
        <v>1438</v>
      </c>
      <c r="AX10" s="1046" t="s">
        <v>1438</v>
      </c>
      <c r="AZ10" s="1046" t="s">
        <v>1439</v>
      </c>
      <c r="BB10" s="1046" t="s">
        <v>1440</v>
      </c>
      <c r="BC10" s="1046" t="s">
        <v>1357</v>
      </c>
      <c r="BE10" s="1046">
        <v>2008</v>
      </c>
      <c r="BF10" s="1046" t="s">
        <v>1441</v>
      </c>
      <c r="BH10" s="997" t="s">
        <v>1442</v>
      </c>
      <c r="BJ10" s="997" t="s">
        <v>1443</v>
      </c>
      <c r="BL10" s="997" t="s">
        <v>1443</v>
      </c>
      <c r="BN10" s="997" t="s">
        <v>1444</v>
      </c>
      <c r="BQ10" s="1207">
        <v>4213778</v>
      </c>
      <c r="BR10" s="997" t="s">
        <v>205</v>
      </c>
      <c r="BS10" s="1355"/>
      <c r="BT10" s="1207">
        <v>64236876</v>
      </c>
      <c r="BU10" s="997" t="s">
        <v>251</v>
      </c>
      <c r="BV10" s="999"/>
      <c r="BW10" s="1616"/>
      <c r="BX10" s="1616"/>
    </row>
    <row r="11" spans="1:79" ht="11.25" customHeight="1">
      <c r="A11" s="1003" t="s">
        <v>1445</v>
      </c>
      <c r="B11" s="1004">
        <v>2009</v>
      </c>
      <c r="E11" s="1005" t="s">
        <v>1446</v>
      </c>
      <c r="F11" s="1021"/>
      <c r="G11" s="1005" t="s">
        <v>1447</v>
      </c>
      <c r="H11" s="1005" t="s">
        <v>1448</v>
      </c>
      <c r="I11" s="1005" t="s">
        <v>150</v>
      </c>
      <c r="J11" s="1006" t="s">
        <v>1449</v>
      </c>
      <c r="K11" s="1027" t="s">
        <v>1450</v>
      </c>
      <c r="O11" s="1006" t="s">
        <v>1451</v>
      </c>
      <c r="V11" s="306" t="s">
        <v>150</v>
      </c>
      <c r="W11" s="212"/>
      <c r="X11" s="1013" t="s">
        <v>1422</v>
      </c>
      <c r="Y11" s="1004" t="s">
        <v>1452</v>
      </c>
      <c r="Z11" s="1019"/>
      <c r="AP11" s="1016" t="s">
        <v>217</v>
      </c>
      <c r="AQ11" s="1018" t="s">
        <v>217</v>
      </c>
      <c r="AW11" s="1046" t="s">
        <v>1453</v>
      </c>
      <c r="AX11" s="1046" t="s">
        <v>1453</v>
      </c>
      <c r="AZ11" s="1046" t="s">
        <v>1454</v>
      </c>
      <c r="BB11" s="1046" t="s">
        <v>1455</v>
      </c>
      <c r="BC11" s="1046" t="s">
        <v>1357</v>
      </c>
      <c r="BE11" s="1046">
        <v>2009</v>
      </c>
      <c r="BF11" s="1046" t="s">
        <v>1456</v>
      </c>
      <c r="BH11" s="997" t="s">
        <v>1457</v>
      </c>
      <c r="BJ11" s="997" t="s">
        <v>1427</v>
      </c>
      <c r="BL11" s="997" t="s">
        <v>1427</v>
      </c>
      <c r="BN11" s="997" t="s">
        <v>1458</v>
      </c>
      <c r="BQ11" s="1207">
        <v>4213780</v>
      </c>
      <c r="BR11" s="997" t="s">
        <v>211</v>
      </c>
      <c r="BS11" s="1355"/>
      <c r="BW11" s="1616"/>
      <c r="BX11" s="1616"/>
    </row>
    <row r="12" spans="1:79" ht="11.25" customHeight="1">
      <c r="A12" s="1003" t="s">
        <v>1459</v>
      </c>
      <c r="B12" s="1004">
        <v>2010</v>
      </c>
      <c r="E12" s="1005" t="s">
        <v>1460</v>
      </c>
      <c r="F12" s="1021"/>
      <c r="G12" s="1005" t="s">
        <v>1448</v>
      </c>
      <c r="I12" s="1005" t="s">
        <v>151</v>
      </c>
      <c r="J12" s="1006" t="s">
        <v>1461</v>
      </c>
      <c r="K12" s="1027" t="s">
        <v>1462</v>
      </c>
      <c r="O12" s="1006" t="s">
        <v>472</v>
      </c>
      <c r="V12" s="306" t="s">
        <v>151</v>
      </c>
      <c r="W12" s="1018"/>
      <c r="X12" s="1013" t="s">
        <v>1463</v>
      </c>
      <c r="Y12" s="1004" t="s">
        <v>1259</v>
      </c>
      <c r="AP12" s="1016"/>
      <c r="AW12" s="1046" t="s">
        <v>150</v>
      </c>
      <c r="AX12" s="1046" t="s">
        <v>150</v>
      </c>
      <c r="AZ12" s="1046" t="s">
        <v>1464</v>
      </c>
      <c r="BB12" s="1046" t="s">
        <v>1465</v>
      </c>
      <c r="BC12" s="1046" t="s">
        <v>1357</v>
      </c>
      <c r="BE12" s="1046">
        <v>2010</v>
      </c>
      <c r="BF12" s="1046" t="s">
        <v>1466</v>
      </c>
      <c r="BH12" s="997" t="s">
        <v>1467</v>
      </c>
      <c r="BJ12" s="997" t="s">
        <v>1468</v>
      </c>
      <c r="BL12" s="997" t="s">
        <v>1468</v>
      </c>
      <c r="BN12" s="997" t="s">
        <v>1469</v>
      </c>
      <c r="BQ12" s="1207">
        <v>4213779</v>
      </c>
      <c r="BR12" s="997" t="s">
        <v>1422</v>
      </c>
      <c r="BS12" s="1355"/>
      <c r="BT12" s="999"/>
      <c r="BU12" s="999"/>
      <c r="BV12" s="999"/>
      <c r="BW12" s="1616"/>
      <c r="BX12" s="1616"/>
    </row>
    <row r="13" spans="1:79" ht="11.25" customHeight="1">
      <c r="A13" s="1003" t="s">
        <v>1470</v>
      </c>
      <c r="B13" s="1004">
        <v>2011</v>
      </c>
      <c r="E13" s="1005" t="s">
        <v>1471</v>
      </c>
      <c r="F13" s="1021"/>
      <c r="I13" s="1005" t="s">
        <v>152</v>
      </c>
      <c r="K13" s="1027" t="s">
        <v>1421</v>
      </c>
      <c r="V13" s="306" t="s">
        <v>152</v>
      </c>
      <c r="W13" s="1018"/>
      <c r="X13" s="1018"/>
      <c r="Y13" s="1018"/>
      <c r="AW13" s="1046" t="s">
        <v>151</v>
      </c>
      <c r="AX13" s="1046" t="s">
        <v>151</v>
      </c>
      <c r="BB13" s="1046" t="s">
        <v>1472</v>
      </c>
      <c r="BC13" s="1046" t="s">
        <v>1473</v>
      </c>
      <c r="BE13" s="1046">
        <v>2011</v>
      </c>
      <c r="BF13" s="1046" t="s">
        <v>1474</v>
      </c>
      <c r="BH13" s="997" t="s">
        <v>1475</v>
      </c>
      <c r="BJ13" s="997" t="s">
        <v>1457</v>
      </c>
      <c r="BL13" s="997" t="s">
        <v>1457</v>
      </c>
      <c r="BN13" s="997" t="s">
        <v>1476</v>
      </c>
      <c r="BQ13" s="1207">
        <v>4213783</v>
      </c>
      <c r="BR13" s="997" t="s">
        <v>1436</v>
      </c>
      <c r="BS13" s="1355"/>
      <c r="BT13" s="999"/>
      <c r="BU13" s="999"/>
      <c r="BV13" s="999"/>
      <c r="BW13" s="1620"/>
      <c r="BX13" s="1616"/>
    </row>
    <row r="14" spans="1:79" ht="11.25" customHeight="1">
      <c r="A14" s="1003" t="s">
        <v>16</v>
      </c>
      <c r="B14" s="1004">
        <v>2012</v>
      </c>
      <c r="I14" s="1005" t="s">
        <v>153</v>
      </c>
      <c r="J14" s="996" t="s">
        <v>1477</v>
      </c>
      <c r="N14" s="996" t="s">
        <v>1478</v>
      </c>
      <c r="V14" s="1012">
        <v>13</v>
      </c>
      <c r="W14" s="1013"/>
      <c r="X14" s="1013" t="s">
        <v>1290</v>
      </c>
      <c r="Y14" s="1004" t="s">
        <v>1259</v>
      </c>
      <c r="AW14" s="1046" t="s">
        <v>152</v>
      </c>
      <c r="AX14" s="1046" t="s">
        <v>152</v>
      </c>
      <c r="AZ14" s="996" t="s">
        <v>1479</v>
      </c>
      <c r="BB14" s="1046" t="s">
        <v>1480</v>
      </c>
      <c r="BC14" s="1046" t="s">
        <v>1473</v>
      </c>
      <c r="BE14" s="1046">
        <v>2012</v>
      </c>
      <c r="BH14" s="997" t="s">
        <v>1397</v>
      </c>
      <c r="BJ14" s="1143" t="s">
        <v>1481</v>
      </c>
      <c r="BL14" s="1143" t="s">
        <v>1481</v>
      </c>
      <c r="BN14" s="997" t="s">
        <v>1482</v>
      </c>
      <c r="BQ14" s="1207">
        <v>4213782</v>
      </c>
      <c r="BR14" s="997" t="s">
        <v>217</v>
      </c>
      <c r="BS14" s="1355"/>
      <c r="BT14" s="999"/>
      <c r="BU14" s="999"/>
      <c r="BV14" s="999"/>
      <c r="BW14" s="1620"/>
      <c r="BX14" s="1616"/>
    </row>
    <row r="15" spans="1:79" ht="19.5" customHeight="1">
      <c r="A15" s="1003" t="s">
        <v>1483</v>
      </c>
      <c r="B15" s="1004">
        <v>2013</v>
      </c>
      <c r="E15" s="1624" t="s">
        <v>1484</v>
      </c>
      <c r="G15" s="996" t="s">
        <v>1485</v>
      </c>
      <c r="H15" s="996" t="s">
        <v>1486</v>
      </c>
      <c r="I15" s="1007" t="s">
        <v>154</v>
      </c>
      <c r="J15" s="1018" t="s">
        <v>615</v>
      </c>
      <c r="N15" s="1084" t="s">
        <v>1487</v>
      </c>
      <c r="X15" s="1016"/>
      <c r="AW15" s="1046" t="s">
        <v>153</v>
      </c>
      <c r="AX15" s="1046" t="s">
        <v>153</v>
      </c>
      <c r="AZ15" s="1046" t="s">
        <v>1408</v>
      </c>
      <c r="BB15" s="1046" t="s">
        <v>1488</v>
      </c>
      <c r="BC15" s="1046" t="s">
        <v>1473</v>
      </c>
      <c r="BE15" s="1046">
        <v>2013</v>
      </c>
      <c r="BH15" s="997" t="s">
        <v>1413</v>
      </c>
      <c r="BJ15" s="1143" t="s">
        <v>1489</v>
      </c>
      <c r="BL15" s="1143" t="s">
        <v>1489</v>
      </c>
      <c r="BN15" s="997" t="s">
        <v>1490</v>
      </c>
      <c r="BR15" s="999"/>
      <c r="BS15" s="1357"/>
      <c r="BT15" s="999"/>
      <c r="BU15" s="999"/>
      <c r="BV15" s="999"/>
      <c r="BW15" s="1620"/>
      <c r="BX15" s="1616"/>
    </row>
    <row r="16" spans="1:79" ht="21" customHeight="1">
      <c r="A16" s="1794" t="s">
        <v>1491</v>
      </c>
      <c r="B16" s="1004">
        <v>2014</v>
      </c>
      <c r="E16" s="1625" t="s">
        <v>1492</v>
      </c>
      <c r="G16" s="1005" t="s">
        <v>1493</v>
      </c>
      <c r="H16" s="1005" t="s">
        <v>1494</v>
      </c>
      <c r="I16" s="1007" t="s">
        <v>1495</v>
      </c>
      <c r="J16" s="1018" t="s">
        <v>588</v>
      </c>
      <c r="N16" s="1084" t="s">
        <v>1496</v>
      </c>
      <c r="AW16" s="1046" t="s">
        <v>154</v>
      </c>
      <c r="AX16" s="1046" t="s">
        <v>154</v>
      </c>
      <c r="AZ16" s="1046" t="s">
        <v>1424</v>
      </c>
      <c r="BB16" s="1046" t="s">
        <v>1497</v>
      </c>
      <c r="BC16" s="1046" t="s">
        <v>1473</v>
      </c>
      <c r="BE16" s="1046">
        <v>2014</v>
      </c>
      <c r="BH16" s="997" t="s">
        <v>1429</v>
      </c>
      <c r="BJ16" s="1143" t="s">
        <v>1498</v>
      </c>
      <c r="BL16" s="1143" t="s">
        <v>1498</v>
      </c>
      <c r="BN16" s="997" t="s">
        <v>1499</v>
      </c>
      <c r="BR16" s="999"/>
      <c r="BS16" s="1357"/>
      <c r="BT16" s="999"/>
      <c r="BU16" s="999"/>
      <c r="BV16" s="999"/>
      <c r="BW16" s="1620"/>
      <c r="BX16" s="1616"/>
    </row>
    <row r="17" spans="1:82" ht="21" customHeight="1">
      <c r="A17" s="1003" t="s">
        <v>1500</v>
      </c>
      <c r="B17" s="1004">
        <v>2015</v>
      </c>
      <c r="G17" s="1005" t="s">
        <v>1448</v>
      </c>
      <c r="H17" s="1005" t="s">
        <v>1448</v>
      </c>
      <c r="I17" s="1005" t="s">
        <v>1501</v>
      </c>
      <c r="N17" s="1084" t="s">
        <v>1502</v>
      </c>
      <c r="X17" s="1016"/>
      <c r="AW17" s="1046" t="s">
        <v>1495</v>
      </c>
      <c r="AX17" s="1046" t="s">
        <v>1495</v>
      </c>
      <c r="AZ17" s="1046" t="s">
        <v>1503</v>
      </c>
      <c r="BB17" s="1046" t="s">
        <v>1504</v>
      </c>
      <c r="BC17" s="1046" t="s">
        <v>1357</v>
      </c>
      <c r="BE17" s="1046">
        <v>2015</v>
      </c>
      <c r="BH17" s="997" t="s">
        <v>1444</v>
      </c>
      <c r="BJ17" s="1143" t="s">
        <v>1505</v>
      </c>
      <c r="BL17" s="1143" t="s">
        <v>1505</v>
      </c>
      <c r="BN17" s="997" t="s">
        <v>1506</v>
      </c>
      <c r="BR17" s="996" t="s">
        <v>1300</v>
      </c>
      <c r="BS17" s="1354"/>
      <c r="BU17" s="996" t="s">
        <v>1507</v>
      </c>
      <c r="BV17" s="999"/>
      <c r="BW17" s="1616"/>
      <c r="BX17" s="1618" t="s">
        <v>1508</v>
      </c>
      <c r="CA17" s="996" t="s">
        <v>1509</v>
      </c>
      <c r="CD17" s="996" t="s">
        <v>1510</v>
      </c>
    </row>
    <row r="18" spans="1:82" ht="21" customHeight="1">
      <c r="A18" s="1003" t="s">
        <v>1511</v>
      </c>
      <c r="B18" s="1004">
        <v>2016</v>
      </c>
      <c r="E18" s="1926" t="s">
        <v>1512</v>
      </c>
      <c r="I18" s="1005" t="s">
        <v>1513</v>
      </c>
      <c r="N18" s="1084" t="s">
        <v>1514</v>
      </c>
      <c r="X18" s="1016"/>
      <c r="AW18" s="1046" t="s">
        <v>1501</v>
      </c>
      <c r="AX18" s="1046" t="s">
        <v>1501</v>
      </c>
      <c r="BB18" s="1046" t="s">
        <v>1515</v>
      </c>
      <c r="BC18" s="1046" t="s">
        <v>1357</v>
      </c>
      <c r="BE18" s="1046">
        <v>2016</v>
      </c>
      <c r="BH18" s="997" t="s">
        <v>1458</v>
      </c>
      <c r="BJ18" s="1143" t="s">
        <v>1516</v>
      </c>
      <c r="BL18" s="1143" t="s">
        <v>1516</v>
      </c>
      <c r="BN18" s="997" t="s">
        <v>1517</v>
      </c>
      <c r="BQ18" s="1358" t="s">
        <v>1330</v>
      </c>
      <c r="BR18" s="1085" t="s">
        <v>1331</v>
      </c>
      <c r="BS18" s="211"/>
      <c r="BT18" s="1358" t="s">
        <v>1518</v>
      </c>
      <c r="BU18" s="1085" t="s">
        <v>1519</v>
      </c>
      <c r="BV18" s="999"/>
      <c r="BW18" s="1623" t="s">
        <v>1520</v>
      </c>
      <c r="BX18" s="1617" t="s">
        <v>1521</v>
      </c>
      <c r="BZ18" s="1358" t="s">
        <v>1522</v>
      </c>
      <c r="CA18" s="1085" t="s">
        <v>1523</v>
      </c>
      <c r="CC18" s="1358" t="s">
        <v>1524</v>
      </c>
      <c r="CD18" s="1085" t="s">
        <v>1525</v>
      </c>
    </row>
    <row r="19" spans="1:82" ht="21" customHeight="1">
      <c r="A19" s="1794" t="s">
        <v>1526</v>
      </c>
      <c r="B19" s="1004">
        <v>2017</v>
      </c>
      <c r="E19" s="1003" t="s">
        <v>183</v>
      </c>
      <c r="I19" s="1005" t="s">
        <v>1527</v>
      </c>
      <c r="N19" s="1084" t="s">
        <v>1528</v>
      </c>
      <c r="X19" s="1016"/>
      <c r="AW19" s="1046" t="s">
        <v>1513</v>
      </c>
      <c r="AX19" s="1046" t="s">
        <v>1513</v>
      </c>
      <c r="AZ19" s="996" t="s">
        <v>1529</v>
      </c>
      <c r="BB19" s="1046" t="s">
        <v>1530</v>
      </c>
      <c r="BC19" s="1046" t="s">
        <v>1357</v>
      </c>
      <c r="BE19" s="1046">
        <v>2017</v>
      </c>
      <c r="BH19" s="997" t="s">
        <v>1531</v>
      </c>
      <c r="BJ19" s="1143" t="s">
        <v>1532</v>
      </c>
      <c r="BL19" s="1143" t="s">
        <v>1532</v>
      </c>
      <c r="BQ19" s="1207">
        <v>4190064</v>
      </c>
      <c r="BR19" s="997" t="s">
        <v>1533</v>
      </c>
      <c r="BS19" s="1355"/>
      <c r="BT19" s="1207">
        <v>4189671</v>
      </c>
      <c r="BU19" s="997" t="s">
        <v>1534</v>
      </c>
      <c r="BV19" s="999"/>
      <c r="BW19" s="1621">
        <v>4189706</v>
      </c>
      <c r="BX19" s="1619" t="s">
        <v>1535</v>
      </c>
      <c r="BZ19" s="1207">
        <v>4189714</v>
      </c>
      <c r="CA19" s="997" t="s">
        <v>1536</v>
      </c>
      <c r="CC19" s="1207">
        <v>4189708</v>
      </c>
      <c r="CD19" s="997" t="s">
        <v>1537</v>
      </c>
    </row>
    <row r="20" spans="1:82" ht="21" customHeight="1">
      <c r="A20" s="1003" t="s">
        <v>1538</v>
      </c>
      <c r="B20" s="1004">
        <v>2018</v>
      </c>
      <c r="E20" s="1003" t="s">
        <v>1290</v>
      </c>
      <c r="I20" s="1005" t="s">
        <v>1539</v>
      </c>
      <c r="N20" s="1084" t="s">
        <v>1540</v>
      </c>
      <c r="AW20" s="1046" t="s">
        <v>1527</v>
      </c>
      <c r="AX20" s="1046" t="s">
        <v>1527</v>
      </c>
      <c r="AZ20" s="1046" t="s">
        <v>1541</v>
      </c>
      <c r="BB20" s="1046" t="s">
        <v>1542</v>
      </c>
      <c r="BC20" s="1046" t="s">
        <v>1473</v>
      </c>
      <c r="BE20" s="1046">
        <v>2018</v>
      </c>
      <c r="BH20" s="997" t="s">
        <v>1469</v>
      </c>
      <c r="BJ20" s="997" t="s">
        <v>1397</v>
      </c>
      <c r="BL20" s="997" t="s">
        <v>1397</v>
      </c>
      <c r="BQ20" s="1207">
        <v>4190065</v>
      </c>
      <c r="BR20" s="997" t="s">
        <v>1543</v>
      </c>
      <c r="BS20" s="1355"/>
      <c r="BT20" s="1207">
        <v>4189672</v>
      </c>
      <c r="BU20" s="997" t="s">
        <v>1544</v>
      </c>
      <c r="BV20" s="999"/>
      <c r="BW20" s="1621">
        <v>4189705</v>
      </c>
      <c r="BX20" s="1619" t="s">
        <v>1545</v>
      </c>
      <c r="BZ20" s="1207">
        <v>4189713</v>
      </c>
      <c r="CA20" s="997" t="s">
        <v>1545</v>
      </c>
      <c r="CC20" s="1207">
        <v>4189709</v>
      </c>
      <c r="CD20" s="997" t="s">
        <v>1546</v>
      </c>
    </row>
    <row r="21" spans="1:82" ht="21" customHeight="1">
      <c r="A21" s="1003" t="s">
        <v>1547</v>
      </c>
      <c r="B21" s="1004">
        <v>2019</v>
      </c>
      <c r="I21" s="1005" t="s">
        <v>1548</v>
      </c>
      <c r="N21" s="1084" t="s">
        <v>1549</v>
      </c>
      <c r="AW21" s="1046" t="s">
        <v>1539</v>
      </c>
      <c r="AX21" s="1046" t="s">
        <v>1539</v>
      </c>
      <c r="AZ21" s="1046" t="s">
        <v>1550</v>
      </c>
      <c r="BB21" s="1046" t="s">
        <v>1551</v>
      </c>
      <c r="BC21" s="1046" t="s">
        <v>1357</v>
      </c>
      <c r="BE21" s="1046">
        <v>2019</v>
      </c>
      <c r="BH21" s="997" t="s">
        <v>1476</v>
      </c>
      <c r="BJ21" s="997" t="s">
        <v>1413</v>
      </c>
      <c r="BL21" s="997" t="s">
        <v>1413</v>
      </c>
      <c r="BQ21" s="1207">
        <v>4190066</v>
      </c>
      <c r="BR21" s="997" t="s">
        <v>1552</v>
      </c>
      <c r="BS21" s="1355"/>
      <c r="BT21" s="1207">
        <v>4189673</v>
      </c>
      <c r="BU21" s="997" t="s">
        <v>1553</v>
      </c>
      <c r="BV21" s="999"/>
      <c r="BW21" s="1621">
        <v>4189707</v>
      </c>
      <c r="BX21" s="1619" t="s">
        <v>1554</v>
      </c>
      <c r="BZ21" s="1207">
        <v>4189712</v>
      </c>
      <c r="CA21" s="997" t="s">
        <v>1555</v>
      </c>
      <c r="CC21" s="1207">
        <v>4189710</v>
      </c>
      <c r="CD21" s="997" t="s">
        <v>1556</v>
      </c>
    </row>
    <row r="22" spans="1:82" ht="21" customHeight="1">
      <c r="A22" s="1003" t="s">
        <v>1557</v>
      </c>
      <c r="B22" s="1004">
        <v>2020</v>
      </c>
      <c r="N22" s="1084" t="s">
        <v>1558</v>
      </c>
      <c r="AW22" s="1046" t="s">
        <v>1548</v>
      </c>
      <c r="AX22" s="1046" t="s">
        <v>1548</v>
      </c>
      <c r="AZ22" s="1046" t="s">
        <v>1559</v>
      </c>
      <c r="BB22" s="1046" t="s">
        <v>1560</v>
      </c>
      <c r="BC22" s="1046" t="s">
        <v>1357</v>
      </c>
      <c r="BE22" s="1046">
        <v>2020</v>
      </c>
      <c r="BH22" s="997" t="s">
        <v>1482</v>
      </c>
      <c r="BJ22" s="997" t="s">
        <v>1429</v>
      </c>
      <c r="BL22" s="997" t="s">
        <v>1429</v>
      </c>
      <c r="BQ22" s="1207">
        <v>4190067</v>
      </c>
      <c r="BR22" s="997" t="s">
        <v>1561</v>
      </c>
      <c r="BS22" s="1355"/>
      <c r="BT22" s="1207">
        <v>4189674</v>
      </c>
      <c r="BU22" s="997" t="s">
        <v>1562</v>
      </c>
      <c r="BV22" s="999"/>
      <c r="BW22" s="999"/>
      <c r="CC22" s="1207">
        <v>4189711</v>
      </c>
      <c r="CD22" s="997" t="s">
        <v>320</v>
      </c>
    </row>
    <row r="23" spans="1:82" ht="21" customHeight="1">
      <c r="A23" s="1003" t="s">
        <v>1563</v>
      </c>
      <c r="B23" s="1004">
        <v>2021</v>
      </c>
      <c r="AW23" s="1046" t="s">
        <v>1564</v>
      </c>
      <c r="AX23" s="1046" t="s">
        <v>1564</v>
      </c>
      <c r="AZ23" s="1046" t="s">
        <v>1565</v>
      </c>
      <c r="BB23" s="1046" t="s">
        <v>1566</v>
      </c>
      <c r="BC23" s="1046" t="s">
        <v>1269</v>
      </c>
      <c r="BE23" s="1046">
        <v>2021</v>
      </c>
      <c r="BH23" s="997" t="s">
        <v>1490</v>
      </c>
      <c r="BJ23" s="997" t="s">
        <v>1444</v>
      </c>
      <c r="BL23" s="997" t="s">
        <v>1444</v>
      </c>
      <c r="BQ23" s="1207">
        <v>4190068</v>
      </c>
      <c r="BR23" s="997" t="s">
        <v>1567</v>
      </c>
      <c r="BS23" s="1355"/>
      <c r="BT23" s="1207">
        <v>4189675</v>
      </c>
      <c r="BU23" s="997" t="s">
        <v>1568</v>
      </c>
      <c r="BV23" s="999"/>
      <c r="BW23" s="999"/>
      <c r="CC23" s="1207">
        <v>5110778</v>
      </c>
      <c r="CD23" s="997" t="s">
        <v>1569</v>
      </c>
    </row>
    <row r="24" spans="1:82" ht="21" customHeight="1">
      <c r="A24" s="1003" t="s">
        <v>1570</v>
      </c>
      <c r="B24" s="1004">
        <v>2022</v>
      </c>
      <c r="AW24" s="1046" t="s">
        <v>1571</v>
      </c>
      <c r="AX24" s="1046" t="s">
        <v>1571</v>
      </c>
      <c r="AZ24" s="1046" t="s">
        <v>1572</v>
      </c>
      <c r="BB24" s="1046" t="s">
        <v>1573</v>
      </c>
      <c r="BC24" s="1046" t="s">
        <v>1574</v>
      </c>
      <c r="BE24" s="1046">
        <v>2022</v>
      </c>
      <c r="BH24" s="997" t="s">
        <v>1499</v>
      </c>
      <c r="BJ24" s="997" t="s">
        <v>1458</v>
      </c>
      <c r="BL24" s="997" t="s">
        <v>1458</v>
      </c>
      <c r="BQ24" s="1207">
        <v>4190069</v>
      </c>
      <c r="BR24" s="997" t="s">
        <v>1575</v>
      </c>
      <c r="BS24" s="1355"/>
      <c r="BT24" s="1207">
        <v>4189676</v>
      </c>
      <c r="BU24" s="997" t="s">
        <v>1576</v>
      </c>
      <c r="BV24" s="999"/>
      <c r="BW24" s="999"/>
      <c r="CC24" s="1207">
        <v>25575374</v>
      </c>
      <c r="CD24" s="997" t="s">
        <v>1577</v>
      </c>
    </row>
    <row r="25" spans="1:82" ht="11.25" customHeight="1">
      <c r="A25" s="1003" t="s">
        <v>1578</v>
      </c>
      <c r="B25" s="1004">
        <v>2023</v>
      </c>
      <c r="AW25" s="1046" t="s">
        <v>1579</v>
      </c>
      <c r="AX25" s="1046" t="s">
        <v>1579</v>
      </c>
      <c r="AZ25" s="1046" t="s">
        <v>1580</v>
      </c>
      <c r="BB25" s="1046" t="s">
        <v>1581</v>
      </c>
      <c r="BC25" s="1046" t="s">
        <v>1574</v>
      </c>
      <c r="BE25" s="1046">
        <v>2023</v>
      </c>
      <c r="BH25" s="997" t="s">
        <v>1506</v>
      </c>
      <c r="BJ25" s="997" t="s">
        <v>1531</v>
      </c>
      <c r="BL25" s="997" t="s">
        <v>1531</v>
      </c>
      <c r="BQ25" s="1207">
        <v>4190070</v>
      </c>
      <c r="BR25" s="997" t="s">
        <v>1582</v>
      </c>
      <c r="BS25" s="1355"/>
      <c r="BT25" s="1207">
        <v>4189677</v>
      </c>
      <c r="BU25" s="997" t="s">
        <v>1583</v>
      </c>
      <c r="BV25" s="999"/>
      <c r="BW25" s="999"/>
    </row>
    <row r="26" spans="1:82" ht="11.25" customHeight="1">
      <c r="A26" s="1003" t="s">
        <v>1584</v>
      </c>
      <c r="B26" s="1004">
        <v>2024</v>
      </c>
      <c r="J26" s="1656" t="s">
        <v>1585</v>
      </c>
      <c r="AX26" s="1046" t="s">
        <v>1586</v>
      </c>
      <c r="AZ26" s="1046" t="s">
        <v>1451</v>
      </c>
      <c r="BB26" s="1046" t="s">
        <v>1587</v>
      </c>
      <c r="BC26" s="1046" t="s">
        <v>1574</v>
      </c>
      <c r="BE26" s="1046">
        <v>2024</v>
      </c>
      <c r="BH26" s="997" t="s">
        <v>1517</v>
      </c>
      <c r="BJ26" s="997" t="s">
        <v>1469</v>
      </c>
      <c r="BL26" s="997" t="s">
        <v>1469</v>
      </c>
      <c r="BQ26" s="1207">
        <v>4190071</v>
      </c>
      <c r="BR26" s="997" t="s">
        <v>1588</v>
      </c>
      <c r="BS26" s="1355"/>
      <c r="BV26" s="999"/>
      <c r="BW26" s="999"/>
    </row>
    <row r="27" spans="1:82" ht="11.25" customHeight="1">
      <c r="A27" s="1003" t="s">
        <v>1589</v>
      </c>
      <c r="B27" s="1004">
        <v>2025</v>
      </c>
      <c r="J27" s="114" t="s">
        <v>166</v>
      </c>
      <c r="AX27" s="1046" t="s">
        <v>1590</v>
      </c>
      <c r="BB27" s="1046" t="s">
        <v>1591</v>
      </c>
      <c r="BC27" s="1046" t="s">
        <v>1574</v>
      </c>
      <c r="BE27" s="1046">
        <v>2025</v>
      </c>
      <c r="BH27" s="999" t="s">
        <v>28</v>
      </c>
      <c r="BJ27" s="997" t="s">
        <v>1476</v>
      </c>
      <c r="BL27" s="997" t="s">
        <v>1476</v>
      </c>
      <c r="BN27" s="999" t="s">
        <v>28</v>
      </c>
      <c r="BQ27" s="1207">
        <v>4190072</v>
      </c>
      <c r="BR27" s="997" t="s">
        <v>1592</v>
      </c>
      <c r="BS27" s="1355"/>
      <c r="BV27" s="999"/>
      <c r="BW27" s="999"/>
    </row>
    <row r="28" spans="1:82" ht="11.25" customHeight="1">
      <c r="A28" s="1003" t="s">
        <v>1593</v>
      </c>
      <c r="D28" s="1028"/>
      <c r="E28" s="1029"/>
      <c r="F28" s="1029"/>
      <c r="H28" s="1030" t="s">
        <v>1594</v>
      </c>
      <c r="AX28" s="1046" t="s">
        <v>1595</v>
      </c>
      <c r="AZ28" s="996" t="s">
        <v>1596</v>
      </c>
      <c r="BB28" s="1046" t="s">
        <v>1597</v>
      </c>
      <c r="BC28" s="1046" t="s">
        <v>1598</v>
      </c>
      <c r="BE28" s="1046">
        <v>2026</v>
      </c>
      <c r="BH28" s="999" t="s">
        <v>28</v>
      </c>
      <c r="BJ28" s="997" t="s">
        <v>1482</v>
      </c>
      <c r="BL28" s="997" t="s">
        <v>1482</v>
      </c>
      <c r="BN28" s="999" t="s">
        <v>28</v>
      </c>
      <c r="BQ28" s="1207">
        <v>4190073</v>
      </c>
      <c r="BR28" s="997" t="s">
        <v>1599</v>
      </c>
      <c r="BS28" s="1355"/>
      <c r="BV28" s="999"/>
      <c r="BW28" s="999"/>
    </row>
    <row r="29" spans="1:82" ht="11.25" customHeight="1">
      <c r="A29" s="1003" t="s">
        <v>1600</v>
      </c>
      <c r="D29" s="1031" t="s">
        <v>1601</v>
      </c>
      <c r="E29" s="1032" t="str">
        <f>IF(TEMPLATE_GROUP="","",INDEX(StartDateList,MATCH(TEMPLATE_GROUP,CodeTemplateList,0),1))</f>
        <v>01.01.2024</v>
      </c>
      <c r="F29" s="1032" t="str">
        <f>IF(TEMPLATE_GROUP="","",INDEX(EndDateList,MATCH(TEMPLATE_GROUP,CodeTemplateList,0),1))</f>
        <v>31.12.2028</v>
      </c>
      <c r="H29" s="1033" t="s">
        <v>1602</v>
      </c>
      <c r="AX29" s="1046" t="s">
        <v>1603</v>
      </c>
      <c r="AZ29" s="1046" t="s">
        <v>474</v>
      </c>
      <c r="BB29" s="1046" t="s">
        <v>1451</v>
      </c>
      <c r="BC29" s="1019"/>
      <c r="BE29" s="1046">
        <v>2027</v>
      </c>
      <c r="BJ29" s="997" t="s">
        <v>1490</v>
      </c>
      <c r="BL29" s="997" t="s">
        <v>1490</v>
      </c>
    </row>
    <row r="30" spans="1:82" ht="11.25" customHeight="1">
      <c r="A30" s="1003" t="s">
        <v>1604</v>
      </c>
      <c r="D30" s="1034"/>
      <c r="E30" s="1035"/>
      <c r="F30" s="1035"/>
      <c r="AX30" s="1046" t="s">
        <v>1605</v>
      </c>
      <c r="AZ30" s="1046" t="s">
        <v>1279</v>
      </c>
      <c r="BE30" s="1046">
        <v>2028</v>
      </c>
      <c r="BJ30" s="997" t="s">
        <v>1606</v>
      </c>
      <c r="BL30" s="997" t="s">
        <v>1606</v>
      </c>
    </row>
    <row r="31" spans="1:82" ht="12.75" customHeight="1">
      <c r="A31" s="1003" t="s">
        <v>1607</v>
      </c>
      <c r="D31" s="1028"/>
      <c r="E31" s="1029"/>
      <c r="F31" s="1029"/>
      <c r="H31" s="1036"/>
      <c r="AX31" s="1046" t="s">
        <v>1608</v>
      </c>
      <c r="AZ31" s="1046" t="s">
        <v>475</v>
      </c>
      <c r="BE31" s="1046">
        <v>2029</v>
      </c>
      <c r="BJ31" s="997" t="s">
        <v>1609</v>
      </c>
      <c r="BL31" s="997" t="s">
        <v>1609</v>
      </c>
    </row>
    <row r="32" spans="1:82" ht="11.25" customHeight="1">
      <c r="A32" s="1003" t="s">
        <v>1610</v>
      </c>
      <c r="D32" s="1031" t="s">
        <v>1611</v>
      </c>
      <c r="E32" s="1032" t="str">
        <f>IF(TEMPLATE_GROUP="","",INDEX(StartDateList,MATCH(TEMPLATE_GROUP,CodeTemplateList,0),1))</f>
        <v>01.01.2024</v>
      </c>
      <c r="F32" s="1032" t="str">
        <f>IF(TEMPLATE_GROUP="","",INDEX(EndDateList,MATCH(TEMPLATE_GROUP,CodeTemplateList,0),1))</f>
        <v>31.12.2028</v>
      </c>
      <c r="H32" s="1037" t="s">
        <v>1612</v>
      </c>
      <c r="O32" s="1003" t="s">
        <v>473</v>
      </c>
      <c r="AX32" s="1046" t="s">
        <v>1613</v>
      </c>
      <c r="AZ32" s="1046" t="s">
        <v>479</v>
      </c>
      <c r="BE32" s="1046">
        <v>2030</v>
      </c>
      <c r="BJ32" s="997" t="s">
        <v>1499</v>
      </c>
      <c r="BL32" s="997" t="s">
        <v>1499</v>
      </c>
    </row>
    <row r="33" spans="1:66" ht="11.25" customHeight="1">
      <c r="A33" s="1003" t="s">
        <v>1614</v>
      </c>
      <c r="O33" s="1003" t="s">
        <v>1278</v>
      </c>
      <c r="AX33" s="1046" t="s">
        <v>1615</v>
      </c>
      <c r="AZ33" s="1046" t="s">
        <v>472</v>
      </c>
      <c r="BE33" s="1046">
        <v>2031</v>
      </c>
      <c r="BJ33" s="997" t="s">
        <v>1506</v>
      </c>
      <c r="BL33" s="997" t="s">
        <v>1506</v>
      </c>
    </row>
    <row r="34" spans="1:66" ht="11.25" customHeight="1">
      <c r="A34" s="1003" t="s">
        <v>1616</v>
      </c>
      <c r="O34" s="1003" t="s">
        <v>1311</v>
      </c>
      <c r="AX34" s="1046" t="s">
        <v>1617</v>
      </c>
      <c r="BE34" s="1046">
        <v>2032</v>
      </c>
      <c r="BJ34" s="997" t="s">
        <v>1517</v>
      </c>
      <c r="BL34" s="997" t="s">
        <v>1517</v>
      </c>
    </row>
    <row r="35" spans="1:66" ht="11.25" customHeight="1">
      <c r="A35" s="1003" t="s">
        <v>1618</v>
      </c>
      <c r="O35" s="1003" t="s">
        <v>1344</v>
      </c>
      <c r="AX35" s="1046" t="s">
        <v>1619</v>
      </c>
      <c r="AZ35" s="996" t="s">
        <v>1620</v>
      </c>
      <c r="BE35" s="1046">
        <v>2033</v>
      </c>
      <c r="BL35" s="997" t="s">
        <v>1621</v>
      </c>
    </row>
    <row r="36" spans="1:66" ht="11.25" customHeight="1">
      <c r="A36" s="1794" t="s">
        <v>1622</v>
      </c>
      <c r="D36" s="1038" t="s">
        <v>1623</v>
      </c>
      <c r="E36" s="1039" t="s">
        <v>839</v>
      </c>
      <c r="F36" s="1040" t="str">
        <f>INDEX(E37:E41,MATCH(TEMPLATE_SPHERE,F37:F41,0))</f>
        <v>теплоснабжения</v>
      </c>
      <c r="G36" s="1040" t="str">
        <f>INDEX(G37:G41,MATCH(TEMPLATE_SPHERE,F37:F41,0))</f>
        <v>теплоснабжение</v>
      </c>
      <c r="O36" s="1003" t="s">
        <v>1368</v>
      </c>
      <c r="AX36" s="1046" t="s">
        <v>1624</v>
      </c>
      <c r="AZ36" s="1046" t="s">
        <v>472</v>
      </c>
      <c r="BE36" s="1046">
        <v>2034</v>
      </c>
      <c r="BL36" s="997" t="s">
        <v>1625</v>
      </c>
    </row>
    <row r="37" spans="1:66" ht="11.25" customHeight="1">
      <c r="A37" s="1003" t="s">
        <v>1626</v>
      </c>
      <c r="E37" s="343" t="s">
        <v>1627</v>
      </c>
      <c r="F37" s="1041" t="s">
        <v>839</v>
      </c>
      <c r="G37" s="343" t="s">
        <v>1628</v>
      </c>
      <c r="O37" s="1003" t="s">
        <v>1387</v>
      </c>
      <c r="AX37" s="1046" t="s">
        <v>1629</v>
      </c>
      <c r="AZ37" s="1046" t="s">
        <v>476</v>
      </c>
      <c r="BE37" s="1046">
        <v>2035</v>
      </c>
    </row>
    <row r="38" spans="1:66" ht="11.25" customHeight="1">
      <c r="A38" s="1003" t="s">
        <v>1630</v>
      </c>
      <c r="E38" s="343" t="s">
        <v>1631</v>
      </c>
      <c r="F38" s="1042" t="s">
        <v>885</v>
      </c>
      <c r="G38" s="343" t="s">
        <v>1632</v>
      </c>
      <c r="O38" s="1003" t="s">
        <v>1404</v>
      </c>
      <c r="AX38" s="1046" t="s">
        <v>1633</v>
      </c>
      <c r="AZ38" s="1046" t="s">
        <v>1312</v>
      </c>
      <c r="BE38" s="1046">
        <v>2036</v>
      </c>
      <c r="BH38" s="996" t="s">
        <v>1634</v>
      </c>
      <c r="BJ38" s="996" t="s">
        <v>1635</v>
      </c>
      <c r="BL38" s="996" t="s">
        <v>1636</v>
      </c>
      <c r="BN38" s="996" t="s">
        <v>1637</v>
      </c>
    </row>
    <row r="39" spans="1:66" ht="11.25" customHeight="1">
      <c r="A39" s="1003" t="s">
        <v>1638</v>
      </c>
      <c r="E39" s="343" t="s">
        <v>1639</v>
      </c>
      <c r="F39" s="1042" t="s">
        <v>938</v>
      </c>
      <c r="G39" s="343" t="s">
        <v>1640</v>
      </c>
      <c r="O39" s="1003" t="s">
        <v>1420</v>
      </c>
      <c r="AX39" s="1046" t="s">
        <v>1641</v>
      </c>
      <c r="AZ39" s="1046" t="s">
        <v>1345</v>
      </c>
      <c r="BE39" s="1046">
        <v>2037</v>
      </c>
      <c r="BH39" s="997" t="s">
        <v>1642</v>
      </c>
      <c r="BJ39" s="1143" t="s">
        <v>1642</v>
      </c>
      <c r="BL39" s="1143" t="s">
        <v>1642</v>
      </c>
      <c r="BN39" s="997" t="s">
        <v>1643</v>
      </c>
    </row>
    <row r="40" spans="1:66" ht="11.25" customHeight="1">
      <c r="A40" s="1003" t="s">
        <v>1644</v>
      </c>
      <c r="E40" s="343" t="s">
        <v>1645</v>
      </c>
      <c r="F40" s="1042" t="s">
        <v>925</v>
      </c>
      <c r="G40" s="343" t="s">
        <v>1646</v>
      </c>
      <c r="O40" s="1003" t="s">
        <v>493</v>
      </c>
      <c r="AX40" s="1046" t="s">
        <v>1647</v>
      </c>
      <c r="BE40" s="1046">
        <v>2038</v>
      </c>
      <c r="BH40" s="997" t="s">
        <v>1648</v>
      </c>
      <c r="BJ40" s="1143" t="s">
        <v>1058</v>
      </c>
      <c r="BL40" s="1143" t="s">
        <v>1058</v>
      </c>
      <c r="BN40" s="997" t="s">
        <v>1092</v>
      </c>
    </row>
    <row r="41" spans="1:66" ht="11.25" customHeight="1">
      <c r="A41" s="1003" t="s">
        <v>1649</v>
      </c>
      <c r="E41" s="343" t="s">
        <v>1650</v>
      </c>
      <c r="F41" s="1042" t="s">
        <v>1651</v>
      </c>
      <c r="G41" s="343" t="s">
        <v>1650</v>
      </c>
      <c r="O41" s="1003" t="s">
        <v>1451</v>
      </c>
      <c r="AX41" s="1046" t="s">
        <v>1652</v>
      </c>
      <c r="AZ41" s="996" t="s">
        <v>1653</v>
      </c>
      <c r="BE41" s="1046">
        <v>2039</v>
      </c>
      <c r="BH41" s="997" t="s">
        <v>1654</v>
      </c>
      <c r="BJ41" s="1143" t="s">
        <v>1054</v>
      </c>
      <c r="BL41" s="1143" t="s">
        <v>1054</v>
      </c>
      <c r="BN41" s="997" t="s">
        <v>1079</v>
      </c>
    </row>
    <row r="42" spans="1:66" ht="11.25" customHeight="1">
      <c r="A42" s="1003" t="s">
        <v>1655</v>
      </c>
      <c r="AX42" s="1046" t="s">
        <v>1656</v>
      </c>
      <c r="AZ42" s="1046" t="s">
        <v>473</v>
      </c>
      <c r="BE42" s="1046">
        <v>2040</v>
      </c>
      <c r="BH42" s="997" t="s">
        <v>1076</v>
      </c>
      <c r="BJ42" s="1143" t="s">
        <v>1056</v>
      </c>
      <c r="BL42" s="1143" t="s">
        <v>1056</v>
      </c>
      <c r="BN42" s="997" t="s">
        <v>1657</v>
      </c>
    </row>
    <row r="43" spans="1:66" ht="11.25" customHeight="1">
      <c r="A43" s="1003" t="s">
        <v>1658</v>
      </c>
      <c r="AX43" s="1046" t="s">
        <v>1659</v>
      </c>
      <c r="AZ43" s="1046" t="s">
        <v>1278</v>
      </c>
      <c r="BE43" s="1046">
        <v>2041</v>
      </c>
      <c r="BH43" s="997" t="s">
        <v>1660</v>
      </c>
      <c r="BJ43" s="1143" t="s">
        <v>1654</v>
      </c>
      <c r="BL43" s="1143" t="s">
        <v>1654</v>
      </c>
      <c r="BN43" s="997" t="s">
        <v>1661</v>
      </c>
    </row>
    <row r="44" spans="1:66" ht="11.25" customHeight="1">
      <c r="A44" s="1003" t="s">
        <v>1662</v>
      </c>
      <c r="G44" s="1022">
        <f ca="1">YEAR(TODAY())</f>
        <v>2025</v>
      </c>
      <c r="I44" s="729" t="s">
        <v>1663</v>
      </c>
      <c r="J44" s="1018" t="s">
        <v>1664</v>
      </c>
      <c r="K44" s="1018" t="s">
        <v>1665</v>
      </c>
      <c r="AX44" s="1046" t="s">
        <v>1666</v>
      </c>
      <c r="AZ44" s="1046" t="s">
        <v>1311</v>
      </c>
      <c r="BE44" s="1046">
        <v>2042</v>
      </c>
      <c r="BH44" s="997" t="s">
        <v>1667</v>
      </c>
      <c r="BJ44" s="1143" t="s">
        <v>1076</v>
      </c>
      <c r="BL44" s="1143" t="s">
        <v>1076</v>
      </c>
      <c r="BN44" s="997" t="s">
        <v>1668</v>
      </c>
    </row>
    <row r="45" spans="1:66" ht="11.25" customHeight="1">
      <c r="A45" s="1003" t="s">
        <v>1669</v>
      </c>
      <c r="D45" s="1038" t="s">
        <v>1670</v>
      </c>
      <c r="E45" s="1039" t="s">
        <v>1671</v>
      </c>
      <c r="F45" s="727" t="s">
        <v>1672</v>
      </c>
      <c r="G45" s="726" t="s">
        <v>1673</v>
      </c>
      <c r="H45" s="729" t="s">
        <v>1674</v>
      </c>
      <c r="I45" s="1666" t="b">
        <f>INDEX(PeriodIsEmptyList,MATCH(TEMPLATE_GROUP,CodeTemplateList,0),1)</f>
        <v>0</v>
      </c>
      <c r="J45" s="1669" t="str">
        <f>INDEX(NameTemplatesInTitleList,MATCH(TEMPLATE_GROUP,CodeTemplateList,0),1)</f>
        <v>Показатели, подлежащие раскрытию в сфере теплоснабжения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1675</v>
      </c>
      <c r="AZ45" s="1046" t="s">
        <v>1344</v>
      </c>
      <c r="BE45" s="1046">
        <v>2043</v>
      </c>
      <c r="BH45" s="997" t="s">
        <v>1676</v>
      </c>
      <c r="BJ45" s="1143" t="s">
        <v>1070</v>
      </c>
      <c r="BL45" s="1143" t="s">
        <v>1070</v>
      </c>
      <c r="BN45" s="997" t="s">
        <v>1677</v>
      </c>
    </row>
    <row r="46" spans="1:66" ht="11.25" customHeight="1">
      <c r="A46" s="1003" t="s">
        <v>1678</v>
      </c>
      <c r="E46" s="343" t="s">
        <v>26</v>
      </c>
      <c r="F46" s="1041" t="s">
        <v>1679</v>
      </c>
      <c r="G46" s="1043" t="str">
        <f ca="1">IFERROR(IF(TITLE_DATE_FIL="","01.01."&amp;CURRENT_YEAR,"01.01."&amp;YEAR(TITLE_DATE_FIL)),"01.01."&amp;CURRENT_YEAR)</f>
        <v>01.01.2025</v>
      </c>
      <c r="H46" s="1043"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1680</v>
      </c>
      <c r="AZ46" s="1046" t="s">
        <v>1368</v>
      </c>
      <c r="BE46" s="1046">
        <v>2044</v>
      </c>
      <c r="BH46" s="997" t="s">
        <v>1079</v>
      </c>
      <c r="BJ46" s="1143" t="s">
        <v>1060</v>
      </c>
      <c r="BL46" s="1143" t="s">
        <v>1060</v>
      </c>
      <c r="BN46" s="997" t="s">
        <v>1681</v>
      </c>
    </row>
    <row r="47" spans="1:66" ht="11.25" customHeight="1">
      <c r="A47" s="1003" t="s">
        <v>1682</v>
      </c>
      <c r="E47" s="343" t="s">
        <v>33</v>
      </c>
      <c r="F47" s="1042" t="s">
        <v>1683</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1684</v>
      </c>
      <c r="AZ47" s="1046" t="s">
        <v>1387</v>
      </c>
      <c r="BE47" s="1046">
        <v>2045</v>
      </c>
      <c r="BH47" s="997" t="s">
        <v>1657</v>
      </c>
      <c r="BJ47" s="1143" t="s">
        <v>1062</v>
      </c>
      <c r="BL47" s="1143" t="s">
        <v>1062</v>
      </c>
      <c r="BN47" s="997" t="s">
        <v>1685</v>
      </c>
    </row>
    <row r="48" spans="1:66" ht="11.25" customHeight="1">
      <c r="A48" s="1003" t="s">
        <v>1686</v>
      </c>
      <c r="E48" s="343" t="s">
        <v>1687</v>
      </c>
      <c r="F48" s="1042" t="s">
        <v>1688</v>
      </c>
      <c r="G48" s="1043" t="str">
        <f ca="1">IFERROR(IF(f_year="","01.01."&amp;CURRENT_YEAR,"01.01."&amp;f_year),"01.01."&amp;CURRENT_YEAR)</f>
        <v>01.01.2025</v>
      </c>
      <c r="H48" s="1043" t="str">
        <f ca="1">IFERROR(IF(f_year="","31.12."&amp;CURRENT_YEAR,"31.12."&amp;f_year),"31.12."&amp;CURRENT_YEAR)</f>
        <v>31.12.2025</v>
      </c>
      <c r="I48" s="1667" t="b">
        <f>IF(f_year="",TRUE,FALSE)</f>
        <v>1</v>
      </c>
      <c r="J48" s="1670" t="s">
        <v>1689</v>
      </c>
      <c r="K48" s="1671"/>
      <c r="AX48" s="1046" t="s">
        <v>1690</v>
      </c>
      <c r="AZ48" s="1046" t="s">
        <v>1404</v>
      </c>
      <c r="BE48" s="1046">
        <v>2046</v>
      </c>
      <c r="BH48" s="997" t="s">
        <v>1661</v>
      </c>
      <c r="BJ48" s="1143" t="s">
        <v>1064</v>
      </c>
      <c r="BL48" s="1143" t="s">
        <v>1064</v>
      </c>
      <c r="BN48" s="997" t="s">
        <v>1691</v>
      </c>
    </row>
    <row r="49" spans="1:64" ht="11.25" customHeight="1">
      <c r="A49" s="1003" t="s">
        <v>1692</v>
      </c>
      <c r="E49" s="343" t="s">
        <v>1693</v>
      </c>
      <c r="F49" s="1042" t="s">
        <v>1694</v>
      </c>
      <c r="G49" s="1043" t="str">
        <f ca="1">IFERROR(IF(f_year="","01.01."&amp;CURRENT_YEAR,"01.01."&amp;f_year),"01.01."&amp;CURRENT_YEAR)</f>
        <v>01.01.2025</v>
      </c>
      <c r="H49" s="1043" t="str">
        <f ca="1">IFERROR(IF(f_year="","31.12."&amp;CURRENT_YEAR,"31.12."&amp;f_year),"31.12."&amp;CURRENT_YEAR)</f>
        <v>31.12.2025</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1695</v>
      </c>
      <c r="AZ49" s="1046" t="s">
        <v>1420</v>
      </c>
      <c r="BE49" s="1046">
        <v>2047</v>
      </c>
      <c r="BH49" s="997" t="s">
        <v>1080</v>
      </c>
      <c r="BJ49" s="1143" t="s">
        <v>1066</v>
      </c>
      <c r="BL49" s="1143" t="s">
        <v>1066</v>
      </c>
    </row>
    <row r="50" spans="1:64" ht="11.25" customHeight="1">
      <c r="A50" s="1003" t="s">
        <v>1696</v>
      </c>
      <c r="E50" s="343" t="s">
        <v>1697</v>
      </c>
      <c r="F50" s="1042" t="s">
        <v>1050</v>
      </c>
      <c r="G50" s="1043" t="str">
        <f ca="1">IFERROR(IF(f_year="","01.01."&amp;CURRENT_YEAR,"01.01."&amp;f_year),"01.01."&amp;CURRENT_YEAR)</f>
        <v>01.01.2025</v>
      </c>
      <c r="H50" s="1043" t="str">
        <f ca="1">IFERROR(IF(f_year="","31.12."&amp;CURRENT_YEAR,"31.12."&amp;f_year),"31.12."&amp;CURRENT_YEAR)</f>
        <v>31.12.2025</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1698</v>
      </c>
      <c r="AZ50" s="1046" t="s">
        <v>493</v>
      </c>
      <c r="BE50" s="1046">
        <v>2048</v>
      </c>
      <c r="BH50" s="997" t="s">
        <v>1668</v>
      </c>
      <c r="BJ50" s="1143" t="s">
        <v>1068</v>
      </c>
      <c r="BL50" s="1143" t="s">
        <v>1068</v>
      </c>
    </row>
    <row r="51" spans="1:64" ht="11.25" customHeight="1">
      <c r="A51" s="1003" t="s">
        <v>1699</v>
      </c>
      <c r="E51" s="343" t="s">
        <v>1700</v>
      </c>
      <c r="F51" s="1042" t="s">
        <v>1701</v>
      </c>
      <c r="G51" s="1043" t="str">
        <f>IFERROR(IF(TITLE_PERIOD_START="","01.01."&amp;CURRENT_YEAR,"01.01."&amp;YEAR(TITLE_PERIOD_START)),"01.01."&amp;CURRENT_YEAR)</f>
        <v>01.01.2024</v>
      </c>
      <c r="H51" s="1043" t="str">
        <f>IFERROR(IF(TITLE_PERIOD_END="","31.12."&amp;CURRENT_YEAR,"31.12."&amp;YEAR(TITLE_PERIOD_END)),"31.12."&amp;CURRENT_YEAR)</f>
        <v>31.12.2028</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1702</v>
      </c>
      <c r="AZ51" s="1046" t="s">
        <v>1451</v>
      </c>
      <c r="BE51" s="1046">
        <v>2049</v>
      </c>
      <c r="BH51" s="997" t="s">
        <v>1677</v>
      </c>
      <c r="BJ51" s="1143" t="s">
        <v>1703</v>
      </c>
      <c r="BL51" s="1143" t="s">
        <v>1703</v>
      </c>
    </row>
    <row r="52" spans="1:64" ht="11.25" customHeight="1">
      <c r="A52" s="1003" t="s">
        <v>1704</v>
      </c>
      <c r="E52" s="343" t="s">
        <v>1705</v>
      </c>
      <c r="F52" s="1042" t="s">
        <v>1671</v>
      </c>
      <c r="G52" s="1043" t="str">
        <f>IFERROR(IF(TITLE_PERIOD_START="","01.01."&amp;CURRENT_YEAR,"01.01."&amp;YEAR(TITLE_PERIOD_START)),"01.01."&amp;CURRENT_YEAR)</f>
        <v>01.01.2024</v>
      </c>
      <c r="H52" s="1043" t="str">
        <f>IFERROR(IF(TITLE_PERIOD_END="","31.12."&amp;CURRENT_YEAR,"31.12."&amp;YEAR(TITLE_PERIOD_END)),"31.12."&amp;CURRENT_YEAR)</f>
        <v>31.12.2028</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1706</v>
      </c>
      <c r="AZ52" s="1046" t="s">
        <v>472</v>
      </c>
      <c r="BE52" s="1046">
        <v>2050</v>
      </c>
      <c r="BH52" s="997" t="s">
        <v>1681</v>
      </c>
      <c r="BJ52" s="1143" t="s">
        <v>1079</v>
      </c>
      <c r="BL52" s="1143" t="s">
        <v>1079</v>
      </c>
    </row>
    <row r="53" spans="1:64" ht="11.25" customHeight="1">
      <c r="A53" s="1003" t="s">
        <v>1707</v>
      </c>
      <c r="E53" s="343" t="s">
        <v>1708</v>
      </c>
      <c r="F53" s="1042" t="s">
        <v>1708</v>
      </c>
      <c r="G53" s="1043" t="str">
        <f ca="1">IFERROR(IF(f_year="","01.01."&amp;CURRENT_YEAR,"01.01."&amp;f_year),"01.01."&amp;CURRENT_YEAR)</f>
        <v>01.01.2025</v>
      </c>
      <c r="H53" s="1043" t="str">
        <f ca="1">IFERROR(IF(f_year="","31.12."&amp;CURRENT_YEAR,"31.12."&amp;f_year),"31.12."&amp;CURRENT_YEAR)</f>
        <v>31.12.2025</v>
      </c>
      <c r="I53" s="1667" t="b">
        <f>IF(AND(f_year="",TITLE_DATE_FIL=""),TRUE,FALSE)</f>
        <v>1</v>
      </c>
      <c r="J53" s="1670" t="s">
        <v>1709</v>
      </c>
      <c r="K53" s="1671"/>
      <c r="AX53" s="1046" t="s">
        <v>1710</v>
      </c>
      <c r="BE53" s="1046">
        <v>2051</v>
      </c>
      <c r="BH53" s="997" t="s">
        <v>1685</v>
      </c>
      <c r="BJ53" s="1143" t="s">
        <v>1657</v>
      </c>
      <c r="BL53" s="1143" t="s">
        <v>1657</v>
      </c>
    </row>
    <row r="54" spans="1:64" ht="11.25" customHeight="1">
      <c r="A54" s="1003" t="s">
        <v>1711</v>
      </c>
      <c r="AX54" s="1046" t="s">
        <v>1712</v>
      </c>
      <c r="AZ54" s="996" t="s">
        <v>1713</v>
      </c>
      <c r="BE54" s="1046">
        <v>2052</v>
      </c>
      <c r="BH54" s="997" t="s">
        <v>1691</v>
      </c>
      <c r="BJ54" s="1143" t="s">
        <v>1661</v>
      </c>
      <c r="BL54" s="1143" t="s">
        <v>1661</v>
      </c>
    </row>
    <row r="55" spans="1:64" ht="11.25" customHeight="1">
      <c r="A55" s="1003" t="s">
        <v>1714</v>
      </c>
      <c r="AX55" s="1046" t="s">
        <v>1715</v>
      </c>
      <c r="AZ55" s="1046" t="s">
        <v>1255</v>
      </c>
      <c r="BE55" s="1046">
        <v>2053</v>
      </c>
      <c r="BH55" s="999" t="s">
        <v>28</v>
      </c>
      <c r="BJ55" s="1143" t="s">
        <v>1080</v>
      </c>
      <c r="BL55" s="1143" t="s">
        <v>1080</v>
      </c>
    </row>
    <row r="56" spans="1:64" ht="11.25" customHeight="1">
      <c r="A56" s="1003" t="s">
        <v>1716</v>
      </c>
      <c r="D56" s="1045" t="s">
        <v>1717</v>
      </c>
      <c r="E56" s="1023" t="s">
        <v>113</v>
      </c>
      <c r="F56" s="1003" t="s">
        <v>1718</v>
      </c>
      <c r="AX56" s="1046" t="s">
        <v>1719</v>
      </c>
      <c r="AZ56" s="1046" t="s">
        <v>1280</v>
      </c>
      <c r="BE56" s="1046">
        <v>2054</v>
      </c>
      <c r="BH56" s="999" t="s">
        <v>28</v>
      </c>
      <c r="BJ56" s="1143" t="s">
        <v>1668</v>
      </c>
      <c r="BL56" s="1143" t="s">
        <v>1668</v>
      </c>
    </row>
    <row r="57" spans="1:64" ht="11.25" customHeight="1">
      <c r="A57" s="1003" t="s">
        <v>1720</v>
      </c>
      <c r="D57" s="1045" t="s">
        <v>1721</v>
      </c>
      <c r="E57" s="1023" t="s">
        <v>113</v>
      </c>
      <c r="F57" s="1003" t="s">
        <v>1718</v>
      </c>
      <c r="AX57" s="1046" t="s">
        <v>1722</v>
      </c>
      <c r="AZ57" s="1046" t="s">
        <v>1314</v>
      </c>
      <c r="BE57" s="1046">
        <v>2055</v>
      </c>
      <c r="BJ57" s="1143" t="s">
        <v>1677</v>
      </c>
      <c r="BL57" s="1143" t="s">
        <v>1677</v>
      </c>
    </row>
    <row r="58" spans="1:64" ht="11.25" customHeight="1">
      <c r="A58" s="1003" t="s">
        <v>1723</v>
      </c>
      <c r="D58" s="1045" t="s">
        <v>1724</v>
      </c>
      <c r="E58" s="1023" t="s">
        <v>113</v>
      </c>
      <c r="F58" s="1003" t="s">
        <v>1718</v>
      </c>
      <c r="AX58" s="1046" t="s">
        <v>1725</v>
      </c>
      <c r="BE58" s="1046">
        <v>2056</v>
      </c>
      <c r="BJ58" s="1143" t="s">
        <v>1681</v>
      </c>
      <c r="BL58" s="1143" t="s">
        <v>1681</v>
      </c>
    </row>
    <row r="59" spans="1:64" ht="11.25" customHeight="1">
      <c r="A59" s="1003" t="s">
        <v>1726</v>
      </c>
      <c r="D59" s="1045" t="s">
        <v>133</v>
      </c>
      <c r="E59" s="1023" t="s">
        <v>1613</v>
      </c>
      <c r="F59" s="1003" t="s">
        <v>1727</v>
      </c>
      <c r="AX59" s="1046" t="s">
        <v>1728</v>
      </c>
      <c r="AZ59" s="996" t="s">
        <v>1729</v>
      </c>
      <c r="BE59" s="1046">
        <v>2057</v>
      </c>
      <c r="BJ59" s="1143" t="s">
        <v>1685</v>
      </c>
      <c r="BL59" s="1143" t="s">
        <v>1685</v>
      </c>
    </row>
    <row r="60" spans="1:64" ht="11.25" customHeight="1">
      <c r="A60" s="1003" t="s">
        <v>1730</v>
      </c>
      <c r="D60" s="1045" t="s">
        <v>1731</v>
      </c>
      <c r="E60" s="1023" t="s">
        <v>1613</v>
      </c>
      <c r="F60" s="1003" t="s">
        <v>1727</v>
      </c>
      <c r="AX60" s="1046" t="s">
        <v>1732</v>
      </c>
      <c r="AZ60" s="1046" t="s">
        <v>1256</v>
      </c>
      <c r="BE60" s="1046">
        <v>2058</v>
      </c>
      <c r="BJ60" s="1143" t="s">
        <v>1691</v>
      </c>
      <c r="BL60" s="1143" t="s">
        <v>1691</v>
      </c>
    </row>
    <row r="61" spans="1:64" ht="11.25" customHeight="1">
      <c r="A61" s="1003" t="s">
        <v>1733</v>
      </c>
      <c r="D61" s="1045" t="s">
        <v>1734</v>
      </c>
      <c r="E61" s="1023" t="s">
        <v>1735</v>
      </c>
      <c r="F61" s="1003" t="s">
        <v>1727</v>
      </c>
      <c r="AX61" s="1046" t="s">
        <v>1736</v>
      </c>
      <c r="AZ61" s="1046" t="s">
        <v>1281</v>
      </c>
      <c r="BE61" s="1046">
        <v>2059</v>
      </c>
      <c r="BL61" s="1143" t="s">
        <v>1072</v>
      </c>
    </row>
    <row r="62" spans="1:64" ht="11.25" customHeight="1">
      <c r="A62" s="1003" t="s">
        <v>1737</v>
      </c>
      <c r="D62" s="1045" t="s">
        <v>132</v>
      </c>
      <c r="E62" s="1023">
        <v>33</v>
      </c>
      <c r="F62" s="1003" t="s">
        <v>1727</v>
      </c>
      <c r="AZ62" s="1046" t="s">
        <v>1315</v>
      </c>
      <c r="BE62" s="1046">
        <v>2060</v>
      </c>
      <c r="BL62" s="1143" t="s">
        <v>1074</v>
      </c>
    </row>
    <row r="63" spans="1:64" ht="11.25" customHeight="1">
      <c r="A63" s="1003" t="s">
        <v>1738</v>
      </c>
      <c r="D63" s="1045" t="s">
        <v>1739</v>
      </c>
      <c r="E63" s="1023">
        <v>33</v>
      </c>
      <c r="F63" s="1003" t="s">
        <v>1727</v>
      </c>
      <c r="AZ63" s="1046" t="s">
        <v>1346</v>
      </c>
      <c r="BE63" s="1046">
        <v>2061</v>
      </c>
    </row>
    <row r="64" spans="1:64" ht="11.25" customHeight="1">
      <c r="A64" s="1003" t="s">
        <v>1740</v>
      </c>
      <c r="D64" s="1045" t="s">
        <v>1741</v>
      </c>
      <c r="E64" s="1023">
        <v>33</v>
      </c>
      <c r="F64" s="1003" t="s">
        <v>1727</v>
      </c>
      <c r="AZ64" s="1046" t="s">
        <v>1369</v>
      </c>
      <c r="BE64" s="1046">
        <v>2062</v>
      </c>
    </row>
    <row r="65" spans="1:66" ht="11.25" customHeight="1">
      <c r="A65" s="1003" t="s">
        <v>1742</v>
      </c>
      <c r="D65" s="1003"/>
      <c r="BE65" s="1046">
        <v>2063</v>
      </c>
    </row>
    <row r="66" spans="1:66" ht="11.25" customHeight="1">
      <c r="A66" s="1003" t="s">
        <v>1743</v>
      </c>
      <c r="AZ66" s="996" t="s">
        <v>1744</v>
      </c>
      <c r="BE66" s="1046">
        <v>2064</v>
      </c>
    </row>
    <row r="67" spans="1:66" ht="11.25" customHeight="1">
      <c r="A67" s="1003" t="s">
        <v>1745</v>
      </c>
      <c r="AZ67" s="1046" t="s">
        <v>1257</v>
      </c>
      <c r="BE67" s="1046">
        <v>2065</v>
      </c>
    </row>
    <row r="68" spans="1:66" ht="11.25" customHeight="1">
      <c r="A68" s="1003" t="s">
        <v>1746</v>
      </c>
      <c r="AZ68" s="1046" t="s">
        <v>1282</v>
      </c>
      <c r="BE68" s="1046">
        <v>2066</v>
      </c>
      <c r="BH68" s="996" t="s">
        <v>1747</v>
      </c>
      <c r="BJ68" s="996" t="s">
        <v>1748</v>
      </c>
      <c r="BL68" s="996" t="s">
        <v>1749</v>
      </c>
      <c r="BN68" s="996" t="s">
        <v>1750</v>
      </c>
    </row>
    <row r="69" spans="1:66" ht="11.25" customHeight="1">
      <c r="A69" s="1003" t="s">
        <v>1751</v>
      </c>
      <c r="AZ69" s="1046" t="s">
        <v>1316</v>
      </c>
      <c r="BE69" s="1046">
        <v>2067</v>
      </c>
      <c r="BH69" s="997" t="s">
        <v>1752</v>
      </c>
      <c r="BI69" s="1044" t="s">
        <v>111</v>
      </c>
      <c r="BJ69" s="997" t="s">
        <v>1753</v>
      </c>
      <c r="BK69" s="1044" t="s">
        <v>111</v>
      </c>
      <c r="BL69" s="997" t="s">
        <v>1754</v>
      </c>
      <c r="BM69" s="999" t="s">
        <v>111</v>
      </c>
      <c r="BN69" s="997" t="s">
        <v>1755</v>
      </c>
    </row>
    <row r="70" spans="1:66" ht="11.25" customHeight="1">
      <c r="A70" s="1003" t="s">
        <v>1756</v>
      </c>
      <c r="AZ70" s="1046" t="s">
        <v>1347</v>
      </c>
      <c r="BE70" s="1046">
        <v>2068</v>
      </c>
      <c r="BH70" s="997" t="s">
        <v>1757</v>
      </c>
      <c r="BJ70" s="997" t="s">
        <v>1758</v>
      </c>
      <c r="BL70" s="997" t="s">
        <v>1759</v>
      </c>
      <c r="BN70" s="997" t="s">
        <v>1760</v>
      </c>
    </row>
    <row r="71" spans="1:66" ht="11.25" customHeight="1">
      <c r="A71" s="1003" t="s">
        <v>1761</v>
      </c>
      <c r="AZ71" s="1046" t="s">
        <v>1349</v>
      </c>
      <c r="BE71" s="1046">
        <v>2069</v>
      </c>
      <c r="BH71" s="997" t="s">
        <v>1762</v>
      </c>
      <c r="BI71" s="1044" t="s">
        <v>92</v>
      </c>
      <c r="BJ71" s="997" t="s">
        <v>1763</v>
      </c>
      <c r="BK71" s="1044" t="s">
        <v>92</v>
      </c>
      <c r="BL71" s="997" t="s">
        <v>1764</v>
      </c>
      <c r="BM71" s="999" t="s">
        <v>92</v>
      </c>
      <c r="BN71" s="997" t="s">
        <v>1765</v>
      </c>
    </row>
    <row r="72" spans="1:66" ht="11.25" customHeight="1">
      <c r="A72" s="1003" t="s">
        <v>1766</v>
      </c>
      <c r="AZ72" s="1046" t="s">
        <v>19</v>
      </c>
      <c r="BE72" s="1046">
        <v>2070</v>
      </c>
      <c r="BH72" s="997" t="s">
        <v>1767</v>
      </c>
      <c r="BJ72" s="997" t="s">
        <v>1767</v>
      </c>
      <c r="BL72" s="997" t="s">
        <v>1767</v>
      </c>
      <c r="BN72" s="997" t="s">
        <v>1768</v>
      </c>
    </row>
    <row r="73" spans="1:66" ht="11.25" customHeight="1">
      <c r="A73" s="1003" t="s">
        <v>1769</v>
      </c>
      <c r="BH73" s="997" t="s">
        <v>1770</v>
      </c>
      <c r="BI73" s="1044" t="s">
        <v>113</v>
      </c>
      <c r="BJ73" s="997" t="s">
        <v>1771</v>
      </c>
      <c r="BK73" s="1044" t="s">
        <v>113</v>
      </c>
      <c r="BL73" s="997" t="s">
        <v>1772</v>
      </c>
      <c r="BM73" s="999" t="s">
        <v>113</v>
      </c>
      <c r="BN73" s="997" t="s">
        <v>1773</v>
      </c>
    </row>
    <row r="74" spans="1:66" ht="11.25" customHeight="1">
      <c r="A74" s="1003" t="s">
        <v>1774</v>
      </c>
      <c r="BH74" s="997" t="s">
        <v>1775</v>
      </c>
      <c r="BJ74" s="997" t="s">
        <v>1776</v>
      </c>
      <c r="BL74" s="997" t="s">
        <v>1777</v>
      </c>
      <c r="BN74" s="997" t="s">
        <v>1778</v>
      </c>
    </row>
    <row r="75" spans="1:66" ht="11.25" customHeight="1">
      <c r="A75" s="1003" t="s">
        <v>1779</v>
      </c>
      <c r="AZ75" s="996" t="s">
        <v>1780</v>
      </c>
      <c r="BH75" s="997" t="s">
        <v>1781</v>
      </c>
      <c r="BJ75" s="997" t="s">
        <v>1781</v>
      </c>
      <c r="BL75" s="997" t="s">
        <v>1781</v>
      </c>
    </row>
    <row r="76" spans="1:66" ht="11.25" customHeight="1">
      <c r="A76" s="1003" t="s">
        <v>1782</v>
      </c>
      <c r="AZ76" s="1046" t="s">
        <v>1265</v>
      </c>
      <c r="BH76" s="997" t="s">
        <v>1783</v>
      </c>
      <c r="BJ76" s="997" t="s">
        <v>1784</v>
      </c>
      <c r="BL76" s="997" t="s">
        <v>1785</v>
      </c>
    </row>
    <row r="77" spans="1:66" ht="11.25" customHeight="1">
      <c r="A77" s="1003" t="s">
        <v>1786</v>
      </c>
      <c r="AZ77" s="1046" t="s">
        <v>1292</v>
      </c>
    </row>
    <row r="78" spans="1:66" ht="11.25" customHeight="1">
      <c r="A78" s="1003" t="s">
        <v>1787</v>
      </c>
      <c r="AZ78" s="1046" t="s">
        <v>1323</v>
      </c>
    </row>
    <row r="79" spans="1:66" ht="11.25" customHeight="1">
      <c r="A79" s="1003" t="s">
        <v>1788</v>
      </c>
      <c r="AZ79" s="1046" t="s">
        <v>1353</v>
      </c>
      <c r="BH79" s="996" t="s">
        <v>1789</v>
      </c>
      <c r="BJ79" s="996" t="s">
        <v>1790</v>
      </c>
      <c r="BL79" s="996" t="s">
        <v>1791</v>
      </c>
    </row>
    <row r="80" spans="1:66" ht="11.25" customHeight="1">
      <c r="A80" s="1003" t="s">
        <v>1792</v>
      </c>
      <c r="AZ80" s="1046" t="s">
        <v>1374</v>
      </c>
      <c r="BH80" s="997" t="s">
        <v>1793</v>
      </c>
      <c r="BJ80" s="997" t="s">
        <v>1794</v>
      </c>
      <c r="BL80" s="997" t="s">
        <v>1795</v>
      </c>
    </row>
    <row r="81" spans="1:66" ht="11.25" customHeight="1">
      <c r="A81" s="1003" t="s">
        <v>1796</v>
      </c>
      <c r="AZ81" s="1046" t="s">
        <v>1391</v>
      </c>
      <c r="BH81" s="997" t="s">
        <v>1797</v>
      </c>
      <c r="BJ81" s="997" t="s">
        <v>1798</v>
      </c>
      <c r="BL81" s="997" t="s">
        <v>1799</v>
      </c>
    </row>
    <row r="82" spans="1:66" ht="11.25" customHeight="1">
      <c r="A82" s="1003" t="s">
        <v>1800</v>
      </c>
      <c r="AZ82" s="1046" t="s">
        <v>1406</v>
      </c>
      <c r="BH82" s="997" t="s">
        <v>1801</v>
      </c>
      <c r="BJ82" s="997" t="s">
        <v>1802</v>
      </c>
      <c r="BL82" s="997" t="s">
        <v>1803</v>
      </c>
    </row>
    <row r="83" spans="1:66" ht="11.25" customHeight="1">
      <c r="A83" s="1003" t="s">
        <v>1804</v>
      </c>
      <c r="BH83" s="997" t="s">
        <v>1805</v>
      </c>
      <c r="BJ83" s="997" t="s">
        <v>1806</v>
      </c>
      <c r="BL83" s="997" t="s">
        <v>1807</v>
      </c>
    </row>
    <row r="84" spans="1:66" ht="11.25" customHeight="1">
      <c r="A84" s="1003" t="s">
        <v>1808</v>
      </c>
      <c r="AZ84" s="996" t="s">
        <v>1809</v>
      </c>
    </row>
    <row r="85" spans="1:66" ht="11.25" customHeight="1">
      <c r="A85" s="1794" t="s">
        <v>1810</v>
      </c>
      <c r="AZ85" s="1046" t="s">
        <v>1811</v>
      </c>
    </row>
    <row r="86" spans="1:66" ht="11.25" customHeight="1">
      <c r="A86" s="1003" t="s">
        <v>1812</v>
      </c>
      <c r="AZ86" s="1046" t="s">
        <v>1813</v>
      </c>
      <c r="BH86" s="996" t="s">
        <v>1814</v>
      </c>
      <c r="BJ86" s="996" t="s">
        <v>1815</v>
      </c>
      <c r="BL86" s="996" t="s">
        <v>1816</v>
      </c>
    </row>
    <row r="87" spans="1:66" ht="11.25" customHeight="1">
      <c r="A87" s="1003" t="s">
        <v>1817</v>
      </c>
      <c r="AZ87" s="1046" t="s">
        <v>1818</v>
      </c>
      <c r="BH87" s="997" t="s">
        <v>1819</v>
      </c>
      <c r="BJ87" s="997" t="s">
        <v>1820</v>
      </c>
      <c r="BL87" s="997" t="s">
        <v>1821</v>
      </c>
    </row>
    <row r="88" spans="1:66" ht="11.25" customHeight="1">
      <c r="A88" s="1003" t="s">
        <v>1822</v>
      </c>
      <c r="AZ88" s="1532"/>
      <c r="BH88" s="997" t="s">
        <v>1823</v>
      </c>
      <c r="BJ88" s="997" t="s">
        <v>1824</v>
      </c>
      <c r="BL88" s="997" t="s">
        <v>1825</v>
      </c>
    </row>
    <row r="89" spans="1:66" ht="11.25" customHeight="1">
      <c r="A89" s="1003" t="s">
        <v>1826</v>
      </c>
      <c r="AZ89" s="996" t="s">
        <v>1827</v>
      </c>
    </row>
    <row r="90" spans="1:66" ht="11.25" customHeight="1">
      <c r="A90" s="1003" t="s">
        <v>1828</v>
      </c>
      <c r="AZ90" s="1046" t="s">
        <v>1050</v>
      </c>
    </row>
    <row r="91" spans="1:66" ht="11.25" customHeight="1">
      <c r="A91" s="1003" t="s">
        <v>1829</v>
      </c>
      <c r="AZ91" s="1046" t="s">
        <v>1086</v>
      </c>
      <c r="BH91" s="996" t="s">
        <v>1830</v>
      </c>
      <c r="BJ91" s="996" t="s">
        <v>1831</v>
      </c>
      <c r="BL91" s="996" t="s">
        <v>1832</v>
      </c>
    </row>
    <row r="92" spans="1:66" ht="11.25" customHeight="1">
      <c r="AZ92" s="1046" t="s">
        <v>1833</v>
      </c>
      <c r="BH92" s="997" t="s">
        <v>1834</v>
      </c>
      <c r="BJ92" s="997" t="s">
        <v>1835</v>
      </c>
      <c r="BL92" s="997" t="s">
        <v>1836</v>
      </c>
    </row>
    <row r="93" spans="1:66" ht="11.25" customHeight="1">
      <c r="AZ93" s="1046" t="s">
        <v>1837</v>
      </c>
      <c r="BH93" s="997" t="s">
        <v>1838</v>
      </c>
      <c r="BJ93" s="997" t="s">
        <v>1839</v>
      </c>
      <c r="BL93" s="997" t="s">
        <v>1840</v>
      </c>
    </row>
    <row r="94" spans="1:66" ht="11.25" customHeight="1">
      <c r="AZ94" s="1046" t="s">
        <v>1841</v>
      </c>
    </row>
    <row r="96" spans="1:66" ht="11.25" customHeight="1">
      <c r="AZ96" s="996" t="s">
        <v>1842</v>
      </c>
      <c r="BH96" s="996" t="s">
        <v>1843</v>
      </c>
      <c r="BJ96" s="996" t="s">
        <v>1844</v>
      </c>
      <c r="BL96" s="996" t="s">
        <v>1845</v>
      </c>
      <c r="BN96" s="996" t="s">
        <v>1846</v>
      </c>
    </row>
    <row r="97" spans="52:66" ht="11.25" customHeight="1">
      <c r="AZ97" s="1825" t="s">
        <v>1847</v>
      </c>
      <c r="BA97" s="1826" t="s">
        <v>1848</v>
      </c>
      <c r="BH97" s="997" t="s">
        <v>1849</v>
      </c>
      <c r="BJ97" s="997" t="s">
        <v>1850</v>
      </c>
      <c r="BL97" s="997" t="s">
        <v>1851</v>
      </c>
      <c r="BN97" s="997" t="s">
        <v>1852</v>
      </c>
    </row>
    <row r="98" spans="52:66" ht="11.25" customHeight="1">
      <c r="AZ98" s="1825" t="s">
        <v>1853</v>
      </c>
      <c r="BA98" s="1826" t="s">
        <v>1854</v>
      </c>
      <c r="BH98" s="997" t="s">
        <v>1855</v>
      </c>
      <c r="BJ98" s="997" t="s">
        <v>1856</v>
      </c>
      <c r="BL98" s="997" t="s">
        <v>1857</v>
      </c>
      <c r="BN98" s="997" t="s">
        <v>1858</v>
      </c>
    </row>
    <row r="99" spans="52:66" ht="22.5" customHeight="1">
      <c r="AZ99" s="1825" t="s">
        <v>1859</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1860</v>
      </c>
      <c r="BJ99" s="997" t="s">
        <v>1861</v>
      </c>
      <c r="BL99" s="997" t="s">
        <v>1862</v>
      </c>
      <c r="BN99" s="997" t="s">
        <v>1863</v>
      </c>
    </row>
    <row r="100" spans="52:66" ht="22.5" customHeight="1">
      <c r="AZ100" s="1825" t="s">
        <v>1864</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1451</v>
      </c>
      <c r="BL100" s="997" t="s">
        <v>1451</v>
      </c>
      <c r="BN100" s="997" t="s">
        <v>1865</v>
      </c>
    </row>
    <row r="101" spans="52:66" ht="22.5" customHeight="1">
      <c r="AZ101" s="1825" t="s">
        <v>1866</v>
      </c>
      <c r="BA101" s="1826" t="s">
        <v>1867</v>
      </c>
      <c r="BN101" s="997" t="s">
        <v>1868</v>
      </c>
    </row>
    <row r="102" spans="52:66" ht="22.5" customHeight="1">
      <c r="AZ102" s="1825" t="s">
        <v>1869</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1870</v>
      </c>
    </row>
    <row r="103" spans="52:66" ht="11.25" customHeight="1">
      <c r="AZ103" s="1825" t="s">
        <v>1871</v>
      </c>
      <c r="BA103" s="1826" t="s">
        <v>1872</v>
      </c>
      <c r="BN103" s="997" t="s">
        <v>1873</v>
      </c>
    </row>
    <row r="104" spans="52:66" ht="11.25" customHeight="1">
      <c r="BN104" s="997" t="s">
        <v>1874</v>
      </c>
    </row>
    <row r="105" spans="52:66" ht="11.25" customHeight="1">
      <c r="AZ105" s="1618" t="s">
        <v>1875</v>
      </c>
    </row>
    <row r="106" spans="52:66" ht="11.25" customHeight="1">
      <c r="AZ106" s="1046" t="s">
        <v>1876</v>
      </c>
    </row>
    <row r="107" spans="52:66" ht="11.25" customHeight="1">
      <c r="AZ107" s="1046" t="s">
        <v>1877</v>
      </c>
      <c r="BH107" s="996" t="s">
        <v>1878</v>
      </c>
      <c r="BJ107" s="996" t="s">
        <v>1879</v>
      </c>
      <c r="BL107" s="996" t="s">
        <v>1880</v>
      </c>
      <c r="BN107" s="996" t="s">
        <v>1881</v>
      </c>
    </row>
    <row r="108" spans="52:66" ht="11.25" customHeight="1">
      <c r="AZ108" s="1046" t="s">
        <v>603</v>
      </c>
      <c r="BH108" s="997" t="s">
        <v>1882</v>
      </c>
      <c r="BJ108" s="997" t="s">
        <v>1883</v>
      </c>
      <c r="BL108" s="997" t="s">
        <v>1536</v>
      </c>
      <c r="BN108" s="997" t="s">
        <v>1884</v>
      </c>
    </row>
    <row r="109" spans="52:66" ht="11.25" customHeight="1">
      <c r="BH109" s="997" t="s">
        <v>1885</v>
      </c>
    </row>
    <row r="110" spans="52:66" ht="11.25" customHeight="1">
      <c r="AZ110" s="1618" t="s">
        <v>1886</v>
      </c>
      <c r="BH110" s="997" t="s">
        <v>1885</v>
      </c>
    </row>
    <row r="111" spans="52:66" ht="11.25" customHeight="1">
      <c r="AZ111" s="1825" t="s">
        <v>1847</v>
      </c>
      <c r="BA111" s="1826" t="s">
        <v>1848</v>
      </c>
    </row>
    <row r="112" spans="52:66" ht="11.25" customHeight="1">
      <c r="AZ112" s="1825" t="s">
        <v>1853</v>
      </c>
      <c r="BA112" s="1826" t="s">
        <v>1854</v>
      </c>
    </row>
    <row r="113" spans="52:60" ht="22.5" customHeight="1">
      <c r="AZ113" s="1825" t="s">
        <v>1859</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1864</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1887</v>
      </c>
    </row>
    <row r="115" spans="52:60" ht="22.5" customHeight="1">
      <c r="AZ115" s="1825" t="s">
        <v>1869</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472</v>
      </c>
    </row>
    <row r="116" spans="52:60" ht="11.25" customHeight="1">
      <c r="AZ116" s="1825" t="s">
        <v>1871</v>
      </c>
      <c r="BA116" s="1826" t="s">
        <v>1872</v>
      </c>
      <c r="BH116" s="997" t="s">
        <v>476</v>
      </c>
    </row>
    <row r="117" spans="52:60" ht="11.25" customHeight="1">
      <c r="BH117" s="997" t="s">
        <v>1312</v>
      </c>
    </row>
    <row r="118" spans="52:60" ht="11.25" customHeight="1">
      <c r="BH118" s="997" t="s">
        <v>1345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326</v>
      </c>
      <c r="J1" s="391" t="s">
        <v>14</v>
      </c>
    </row>
    <row r="2" spans="1:10" ht="22.5" hidden="1" customHeight="1">
      <c r="A2" s="438"/>
      <c r="B2" s="438"/>
      <c r="C2" s="1655" t="s">
        <v>166</v>
      </c>
      <c r="D2" s="1446"/>
      <c r="E2" s="1452"/>
      <c r="F2" s="1475"/>
      <c r="H2" s="411"/>
      <c r="J2" s="391">
        <v>0</v>
      </c>
    </row>
    <row r="3" spans="1:10" ht="11.25" hidden="1" customHeight="1">
      <c r="J3" s="391">
        <v>0</v>
      </c>
    </row>
    <row r="4" spans="1:10" ht="11.45" customHeight="1">
      <c r="A4" s="1476"/>
      <c r="B4" s="1476"/>
      <c r="J4" s="391">
        <v>11</v>
      </c>
    </row>
    <row r="5" spans="1:10" ht="27.4" customHeight="1">
      <c r="D5" s="522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5229"/>
      <c r="F5" s="5230"/>
      <c r="I5" s="651"/>
      <c r="J5" s="391">
        <v>26</v>
      </c>
    </row>
    <row r="6" spans="1:10" ht="18" customHeight="1">
      <c r="D6" s="5331" t="str">
        <f>IF(region_name=0,"Не определено",region_name)</f>
        <v>г.Санкт-Петербург</v>
      </c>
      <c r="E6" s="5331"/>
      <c r="F6" s="5331"/>
      <c r="I6" s="651"/>
      <c r="J6" s="391">
        <v>17</v>
      </c>
    </row>
    <row r="7" spans="1:10" s="413" customFormat="1" ht="11.45" customHeight="1">
      <c r="A7" s="437"/>
      <c r="B7" s="437"/>
      <c r="D7" s="650"/>
      <c r="E7" s="650"/>
      <c r="F7" s="688"/>
      <c r="G7" s="650"/>
      <c r="J7" s="413">
        <v>11</v>
      </c>
    </row>
    <row r="8" spans="1:10" ht="11.25" hidden="1" customHeight="1">
      <c r="A8" s="438"/>
      <c r="B8" s="438"/>
      <c r="C8" s="393"/>
      <c r="D8" s="399"/>
      <c r="E8" s="5337"/>
      <c r="F8" s="5337"/>
      <c r="J8" s="391">
        <v>0</v>
      </c>
    </row>
    <row r="9" spans="1:10" ht="11.45" customHeight="1">
      <c r="A9" s="438"/>
      <c r="B9" s="438"/>
      <c r="C9" s="393"/>
      <c r="D9" s="5334" t="s">
        <v>327</v>
      </c>
      <c r="E9" s="5335"/>
      <c r="F9" s="5335"/>
      <c r="G9" s="5338" t="s">
        <v>328</v>
      </c>
      <c r="J9" s="391">
        <v>11</v>
      </c>
    </row>
    <row r="10" spans="1:10" ht="11.45" customHeight="1">
      <c r="A10" s="438"/>
      <c r="B10" s="438"/>
      <c r="C10" s="393"/>
      <c r="D10" s="1400" t="s">
        <v>90</v>
      </c>
      <c r="E10" s="1402" t="s">
        <v>329</v>
      </c>
      <c r="F10" s="1402" t="s">
        <v>330</v>
      </c>
      <c r="G10" s="5339"/>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ПАО "ТГК-1" филиал "Невский"</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1888</v>
      </c>
      <c r="F13" s="1447" t="s">
        <v>333</v>
      </c>
      <c r="G13" s="410"/>
      <c r="H13" s="1459"/>
      <c r="J13" s="391">
        <v>19</v>
      </c>
    </row>
    <row r="14" spans="1:10" ht="19.899999999999999" customHeight="1">
      <c r="A14" s="438"/>
      <c r="B14" s="438"/>
      <c r="C14" s="393"/>
      <c r="D14" s="1449" t="s">
        <v>740</v>
      </c>
      <c r="E14" s="1450" t="s">
        <v>1889</v>
      </c>
      <c r="F14" s="1452"/>
      <c r="G14" s="1451" t="s">
        <v>1890</v>
      </c>
      <c r="H14" s="1459"/>
      <c r="J14" s="391">
        <v>19</v>
      </c>
    </row>
    <row r="15" spans="1:10" ht="19.899999999999999" customHeight="1">
      <c r="A15" s="438"/>
      <c r="B15" s="438"/>
      <c r="C15" s="393"/>
      <c r="D15" s="1449" t="s">
        <v>334</v>
      </c>
      <c r="E15" s="1450" t="s">
        <v>1891</v>
      </c>
      <c r="F15" s="1452"/>
      <c r="G15" s="1451" t="s">
        <v>1892</v>
      </c>
      <c r="H15" s="1459"/>
      <c r="J15" s="391">
        <v>19</v>
      </c>
    </row>
    <row r="16" spans="1:10" ht="24" customHeight="1">
      <c r="A16" s="438"/>
      <c r="B16" s="438"/>
      <c r="C16" s="393"/>
      <c r="D16" s="1449" t="s">
        <v>337</v>
      </c>
      <c r="E16" s="1448" t="s">
        <v>1893</v>
      </c>
      <c r="F16" s="1457"/>
      <c r="G16" s="410" t="s">
        <v>1894</v>
      </c>
      <c r="H16" s="1459"/>
      <c r="J16" s="391">
        <v>23</v>
      </c>
    </row>
    <row r="17" spans="1:10" ht="48.2" customHeight="1">
      <c r="A17" s="438"/>
      <c r="B17" s="438"/>
      <c r="C17" s="393"/>
      <c r="D17" s="1446">
        <v>3</v>
      </c>
      <c r="E17" s="1453" t="s">
        <v>1895</v>
      </c>
      <c r="F17" s="1452"/>
      <c r="G17" s="410" t="s">
        <v>1896</v>
      </c>
      <c r="H17" s="1459"/>
      <c r="J17" s="391">
        <v>46</v>
      </c>
    </row>
    <row r="18" spans="1:10" ht="48.2" customHeight="1">
      <c r="A18" s="1401">
        <v>1</v>
      </c>
      <c r="B18" s="438"/>
      <c r="C18" s="1403"/>
      <c r="D18" s="1446" t="s">
        <v>93</v>
      </c>
      <c r="E18" s="1453" t="s">
        <v>1897</v>
      </c>
      <c r="F18" s="1452"/>
      <c r="G18" s="410" t="s">
        <v>1896</v>
      </c>
      <c r="H18" s="1459"/>
      <c r="I18" s="782"/>
      <c r="J18" s="391">
        <v>46</v>
      </c>
    </row>
    <row r="19" spans="1:10" ht="23.25" customHeight="1">
      <c r="A19" s="438"/>
      <c r="B19" s="438"/>
      <c r="C19" s="393"/>
      <c r="D19" s="1446" t="s">
        <v>113</v>
      </c>
      <c r="E19" s="1453" t="s">
        <v>1898</v>
      </c>
      <c r="F19" s="1447" t="s">
        <v>333</v>
      </c>
      <c r="G19" s="5558" t="s">
        <v>1899</v>
      </c>
      <c r="H19" s="411"/>
      <c r="J19" s="391">
        <v>22</v>
      </c>
    </row>
    <row r="20" spans="1:10" s="1456" customFormat="1" ht="5.25" hidden="1" customHeight="1">
      <c r="A20" s="438"/>
      <c r="B20" s="438"/>
      <c r="C20" s="1455"/>
      <c r="D20" s="1454" t="s">
        <v>1147</v>
      </c>
      <c r="E20" s="943"/>
      <c r="F20" s="942"/>
      <c r="G20" s="5559"/>
      <c r="J20" s="1456">
        <v>0</v>
      </c>
    </row>
    <row r="21" spans="1:10" ht="15.75" customHeight="1">
      <c r="A21" s="438"/>
      <c r="B21" s="438"/>
      <c r="C21" s="393"/>
      <c r="D21" s="403"/>
      <c r="E21" s="351" t="s">
        <v>366</v>
      </c>
      <c r="F21" s="405"/>
      <c r="G21" s="5560"/>
      <c r="H21" s="1459"/>
      <c r="J21" s="391">
        <v>15</v>
      </c>
    </row>
    <row r="22" spans="1:10" s="437" customFormat="1" ht="26.25" customHeight="1">
      <c r="A22" s="438"/>
      <c r="B22" s="438"/>
      <c r="C22" s="438"/>
      <c r="D22" s="1446" t="s">
        <v>94</v>
      </c>
      <c r="E22" s="410" t="s">
        <v>1900</v>
      </c>
      <c r="F22" s="1452"/>
      <c r="G22" s="410" t="s">
        <v>1901</v>
      </c>
      <c r="H22" s="1458"/>
      <c r="J22" s="437">
        <v>25</v>
      </c>
    </row>
    <row r="23" spans="1:10" s="437" customFormat="1" ht="19.899999999999999" customHeight="1">
      <c r="A23" s="438"/>
      <c r="B23" s="438"/>
      <c r="C23" s="438"/>
      <c r="D23" s="1446" t="s">
        <v>95</v>
      </c>
      <c r="E23" s="1453" t="s">
        <v>1902</v>
      </c>
      <c r="F23" s="1457"/>
      <c r="G23" s="410" t="s">
        <v>1903</v>
      </c>
      <c r="H23" s="1458"/>
      <c r="J23" s="437">
        <v>19</v>
      </c>
    </row>
    <row r="24" spans="1:10" s="437" customFormat="1" ht="144" hidden="1" customHeight="1">
      <c r="A24" s="438"/>
      <c r="B24" s="438"/>
      <c r="C24" s="438"/>
      <c r="D24" s="1446" t="s">
        <v>114</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1904</v>
      </c>
      <c r="G1" s="1557" t="s">
        <v>52</v>
      </c>
      <c r="H1" s="1557" t="s">
        <v>54</v>
      </c>
      <c r="IU1" s="1081" t="s">
        <v>14</v>
      </c>
    </row>
    <row r="2" spans="1:255" s="1774" customFormat="1" ht="22.5" hidden="1" customHeight="1">
      <c r="A2" s="761"/>
      <c r="B2" s="1086">
        <v>1</v>
      </c>
      <c r="C2" s="1086"/>
      <c r="D2" s="1849" t="s">
        <v>166</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85</v>
      </c>
      <c r="G3" s="430" t="s">
        <v>86</v>
      </c>
      <c r="H3" s="430"/>
      <c r="I3" s="430"/>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1"/>
      <c r="B4" s="1086"/>
      <c r="C4" s="1081"/>
      <c r="D4" s="1421"/>
      <c r="E4" s="445"/>
      <c r="F4" s="1568"/>
      <c r="G4" s="445"/>
      <c r="H4" s="445"/>
      <c r="I4" s="445"/>
      <c r="J4" s="104"/>
      <c r="K4" s="184"/>
      <c r="L4" s="436"/>
      <c r="M4" s="436"/>
      <c r="N4" s="436"/>
      <c r="O4" s="163"/>
      <c r="P4" s="436"/>
      <c r="Q4" s="162"/>
      <c r="R4" s="162"/>
      <c r="S4" s="162"/>
      <c r="T4" s="162"/>
      <c r="IU4" s="443">
        <v>14</v>
      </c>
    </row>
    <row r="5" spans="1:255" s="1744" customFormat="1" ht="27.4" customHeight="1">
      <c r="A5" s="1081"/>
      <c r="B5" s="1086"/>
      <c r="C5" s="1081"/>
      <c r="D5" s="1421"/>
      <c r="E5" s="522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5221"/>
      <c r="G5" s="5221"/>
      <c r="H5" s="5221"/>
      <c r="I5" s="5221"/>
      <c r="J5" s="5221"/>
      <c r="K5" s="184"/>
      <c r="L5" s="436"/>
      <c r="M5" s="436"/>
      <c r="N5" s="436"/>
      <c r="O5" s="163"/>
      <c r="P5" s="436"/>
      <c r="Q5" s="162"/>
      <c r="R5" s="162"/>
      <c r="S5" s="162"/>
      <c r="T5" s="162"/>
      <c r="IU5" s="443">
        <v>26</v>
      </c>
    </row>
    <row r="6" spans="1:255" s="1744" customFormat="1" ht="14.65" customHeight="1">
      <c r="A6" s="1081"/>
      <c r="B6" s="1086"/>
      <c r="C6" s="1081"/>
      <c r="D6" s="1421"/>
      <c r="E6" s="445"/>
      <c r="F6" s="105"/>
      <c r="G6" s="105"/>
      <c r="H6" s="105"/>
      <c r="I6" s="105"/>
      <c r="J6" s="106"/>
      <c r="K6" s="436"/>
      <c r="L6" s="436"/>
      <c r="M6" s="436"/>
      <c r="N6" s="436"/>
      <c r="O6" s="163"/>
      <c r="P6" s="436"/>
      <c r="Q6" s="162"/>
      <c r="R6" s="162"/>
      <c r="S6" s="162"/>
      <c r="T6" s="162"/>
      <c r="IU6" s="443">
        <v>14</v>
      </c>
    </row>
    <row r="7" spans="1:255" s="1744" customFormat="1" ht="14.65" customHeight="1">
      <c r="A7" s="1081"/>
      <c r="B7" s="1086"/>
      <c r="C7" s="1081"/>
      <c r="D7" s="1421"/>
      <c r="E7" s="5217" t="s">
        <v>327</v>
      </c>
      <c r="F7" s="5222"/>
      <c r="G7" s="5222"/>
      <c r="H7" s="5222"/>
      <c r="I7" s="5222"/>
      <c r="J7" s="5561" t="s">
        <v>328</v>
      </c>
      <c r="K7" s="436"/>
      <c r="L7" s="436"/>
      <c r="M7" s="436"/>
      <c r="N7" s="436"/>
      <c r="O7" s="163"/>
      <c r="P7" s="436"/>
      <c r="Q7" s="162"/>
      <c r="R7" s="162"/>
      <c r="S7" s="162"/>
      <c r="T7" s="162"/>
      <c r="IU7" s="443">
        <v>14</v>
      </c>
    </row>
    <row r="8" spans="1:255" s="1744" customFormat="1" ht="21" customHeight="1">
      <c r="A8" s="1081"/>
      <c r="B8" s="1086"/>
      <c r="C8" s="1081"/>
      <c r="D8" s="1421"/>
      <c r="E8" s="1474" t="s">
        <v>90</v>
      </c>
      <c r="F8" s="1466" t="s">
        <v>1904</v>
      </c>
      <c r="G8" s="1466" t="s">
        <v>52</v>
      </c>
      <c r="H8" s="1466" t="s">
        <v>54</v>
      </c>
      <c r="I8" s="1466" t="s">
        <v>1905</v>
      </c>
      <c r="J8" s="5562"/>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528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1906</v>
      </c>
      <c r="G10" s="1468"/>
      <c r="H10" s="1468"/>
      <c r="I10" s="1823"/>
      <c r="J10" s="5283"/>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8"/>
      <c r="F11" s="118"/>
      <c r="G11" s="118"/>
      <c r="H11" s="118"/>
      <c r="I11" s="118"/>
      <c r="J11" s="118"/>
      <c r="K11" s="436"/>
      <c r="L11" s="436"/>
      <c r="M11" s="436"/>
      <c r="N11" s="436"/>
      <c r="O11" s="163"/>
      <c r="P11" s="436"/>
      <c r="Q11" s="162"/>
      <c r="R11" s="162"/>
      <c r="S11" s="162"/>
      <c r="T11" s="162"/>
      <c r="IU11" s="443">
        <v>21</v>
      </c>
    </row>
    <row r="12" spans="1:255" s="1744"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20"/>
      <c r="K14" s="436"/>
      <c r="L14" s="436"/>
      <c r="M14" s="436"/>
      <c r="N14" s="436"/>
      <c r="O14" s="163"/>
      <c r="P14" s="436"/>
      <c r="Q14" s="162"/>
      <c r="R14" s="162"/>
      <c r="S14" s="162"/>
      <c r="T14" s="162"/>
      <c r="IU14" s="119">
        <v>10</v>
      </c>
    </row>
    <row r="15" spans="1:255" s="993" customFormat="1" ht="10.5" customHeight="1">
      <c r="B15" s="764"/>
      <c r="D15" s="120"/>
      <c r="K15" s="436"/>
      <c r="L15" s="436"/>
      <c r="M15" s="436"/>
      <c r="N15" s="436"/>
      <c r="O15" s="163"/>
      <c r="P15" s="436"/>
      <c r="Q15" s="162"/>
      <c r="R15" s="162"/>
      <c r="S15" s="162"/>
      <c r="T15" s="162"/>
      <c r="IU15" s="119">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84</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166</v>
      </c>
      <c r="E2" s="1813"/>
      <c r="F2" s="1816" t="str">
        <f>IF(ROIV_INFO_NAME="","",ROIV_INFO_NAME)</f>
        <v>ПАО "ТГК-1" филиал "Невский"</v>
      </c>
      <c r="G2" s="1841" t="s">
        <v>28</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85</v>
      </c>
      <c r="G3" s="1660" t="s">
        <v>86</v>
      </c>
      <c r="H3" s="430"/>
      <c r="I3" s="430"/>
      <c r="J3" s="430"/>
      <c r="K3" s="430"/>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1"/>
      <c r="B4" s="1086"/>
      <c r="C4" s="1081"/>
      <c r="D4" s="1421"/>
      <c r="E4" s="445"/>
      <c r="F4" s="445"/>
      <c r="G4" s="445"/>
      <c r="H4" s="445"/>
      <c r="I4" s="445"/>
      <c r="J4" s="445"/>
      <c r="K4" s="445"/>
      <c r="L4" s="104"/>
      <c r="M4" s="184"/>
      <c r="N4" s="436"/>
      <c r="O4" s="436"/>
      <c r="P4" s="436"/>
      <c r="Q4" s="163"/>
      <c r="R4" s="436"/>
      <c r="S4" s="162"/>
      <c r="T4" s="162"/>
      <c r="U4" s="162"/>
      <c r="V4" s="162"/>
      <c r="IW4" s="443">
        <v>14</v>
      </c>
    </row>
    <row r="5" spans="1:257" s="1744" customFormat="1" ht="27.4" customHeight="1">
      <c r="A5" s="1081"/>
      <c r="B5" s="1086"/>
      <c r="C5" s="1081"/>
      <c r="D5" s="1421"/>
      <c r="E5" s="522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5221"/>
      <c r="G5" s="5221"/>
      <c r="H5" s="5221"/>
      <c r="I5" s="5221"/>
      <c r="J5" s="5221"/>
      <c r="K5" s="5221"/>
      <c r="L5" s="524"/>
      <c r="M5" s="184"/>
      <c r="N5" s="436"/>
      <c r="O5" s="436"/>
      <c r="P5" s="436"/>
      <c r="Q5" s="163"/>
      <c r="R5" s="436"/>
      <c r="S5" s="162"/>
      <c r="T5" s="162"/>
      <c r="U5" s="162"/>
      <c r="V5" s="162"/>
      <c r="IW5" s="443">
        <v>26</v>
      </c>
    </row>
    <row r="6" spans="1:257" s="1744" customFormat="1" ht="14.65" customHeight="1">
      <c r="A6" s="1081"/>
      <c r="B6" s="1086"/>
      <c r="C6" s="1081"/>
      <c r="D6" s="1421"/>
      <c r="E6" s="445"/>
      <c r="F6" s="105"/>
      <c r="G6" s="105"/>
      <c r="H6" s="105"/>
      <c r="I6" s="105"/>
      <c r="J6" s="105"/>
      <c r="K6" s="105"/>
      <c r="L6" s="106"/>
      <c r="M6" s="436"/>
      <c r="N6" s="436"/>
      <c r="O6" s="436"/>
      <c r="P6" s="436"/>
      <c r="Q6" s="163"/>
      <c r="R6" s="436"/>
      <c r="S6" s="162"/>
      <c r="T6" s="162"/>
      <c r="U6" s="162"/>
      <c r="V6" s="162"/>
      <c r="IW6" s="443">
        <v>14</v>
      </c>
    </row>
    <row r="7" spans="1:257" s="1744" customFormat="1" ht="14.65" customHeight="1">
      <c r="A7" s="1081"/>
      <c r="B7" s="1086"/>
      <c r="C7" s="1081"/>
      <c r="D7" s="1421"/>
      <c r="E7" s="5217" t="s">
        <v>327</v>
      </c>
      <c r="F7" s="5222"/>
      <c r="G7" s="5222"/>
      <c r="H7" s="5222"/>
      <c r="I7" s="5222"/>
      <c r="J7" s="5222"/>
      <c r="K7" s="5222"/>
      <c r="L7" s="5561" t="s">
        <v>328</v>
      </c>
      <c r="M7" s="436"/>
      <c r="N7" s="436"/>
      <c r="O7" s="436"/>
      <c r="P7" s="436"/>
      <c r="Q7" s="163"/>
      <c r="R7" s="436"/>
      <c r="S7" s="162"/>
      <c r="T7" s="162"/>
      <c r="U7" s="162"/>
      <c r="V7" s="162"/>
      <c r="IW7" s="443">
        <v>14</v>
      </c>
    </row>
    <row r="8" spans="1:257" s="1744" customFormat="1" ht="67.150000000000006" customHeight="1">
      <c r="A8" s="1081"/>
      <c r="B8" s="1086"/>
      <c r="C8" s="1081"/>
      <c r="D8" s="1421"/>
      <c r="E8" s="5565" t="s">
        <v>90</v>
      </c>
      <c r="F8" s="556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556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5568"/>
      <c r="I8" s="5569"/>
      <c r="J8" s="556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556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5563"/>
      <c r="M8" s="436"/>
      <c r="N8" s="436"/>
      <c r="O8" s="436"/>
      <c r="P8" s="436"/>
      <c r="Q8" s="163"/>
      <c r="R8" s="436"/>
      <c r="S8" s="162"/>
      <c r="T8" s="162"/>
      <c r="U8" s="162"/>
      <c r="V8" s="162"/>
      <c r="IW8" s="443">
        <v>64</v>
      </c>
    </row>
    <row r="9" spans="1:257" s="1744" customFormat="1" ht="29.25" customHeight="1">
      <c r="A9" s="1081"/>
      <c r="B9" s="1086"/>
      <c r="C9" s="1081"/>
      <c r="D9" s="1421"/>
      <c r="E9" s="5566"/>
      <c r="F9" s="5566"/>
      <c r="G9" s="1463" t="s">
        <v>1907</v>
      </c>
      <c r="H9" s="1463" t="s">
        <v>1908</v>
      </c>
      <c r="I9" s="1463" t="s">
        <v>1909</v>
      </c>
      <c r="J9" s="5566"/>
      <c r="K9" s="5566"/>
      <c r="L9" s="5562"/>
      <c r="M9" s="436"/>
      <c r="N9" s="436"/>
      <c r="O9" s="436"/>
      <c r="P9" s="436"/>
      <c r="Q9" s="163"/>
      <c r="R9" s="436"/>
      <c r="S9" s="162"/>
      <c r="T9" s="162"/>
      <c r="U9" s="162"/>
      <c r="V9" s="162"/>
      <c r="IW9" s="443">
        <v>28</v>
      </c>
    </row>
    <row r="10" spans="1:257" s="1774" customFormat="1" ht="23.25" customHeight="1">
      <c r="A10" s="5220"/>
      <c r="B10" s="1086">
        <v>1</v>
      </c>
      <c r="C10" s="1086"/>
      <c r="D10" s="730"/>
      <c r="E10" s="728">
        <v>1</v>
      </c>
      <c r="F10" s="1465" t="str">
        <f>IF(ROIV_INFO_NAME="","",ROIV_INFO_NAME)</f>
        <v>ПАО "ТГК-1" филиал "Невский"</v>
      </c>
      <c r="G10" s="1657" t="s">
        <v>28</v>
      </c>
      <c r="H10" s="1840"/>
      <c r="I10" s="1460"/>
      <c r="J10" s="748"/>
      <c r="K10" s="748"/>
      <c r="L10" s="55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5220"/>
      <c r="B11" s="1086"/>
      <c r="C11" s="348"/>
      <c r="D11" s="731"/>
      <c r="E11" s="357"/>
      <c r="F11" s="352" t="s">
        <v>1910</v>
      </c>
      <c r="G11" s="125"/>
      <c r="H11" s="125"/>
      <c r="I11" s="125"/>
      <c r="J11" s="125"/>
      <c r="K11" s="360"/>
      <c r="L11" s="5564"/>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8"/>
      <c r="F12" s="118"/>
      <c r="G12" s="118"/>
      <c r="H12" s="118"/>
      <c r="I12" s="118"/>
      <c r="J12" s="118"/>
      <c r="K12" s="118"/>
      <c r="L12" s="118"/>
      <c r="M12" s="436"/>
      <c r="N12" s="436"/>
      <c r="O12" s="436"/>
      <c r="P12" s="436"/>
      <c r="Q12" s="163"/>
      <c r="R12" s="436"/>
      <c r="S12" s="162"/>
      <c r="T12" s="162"/>
      <c r="U12" s="162"/>
      <c r="V12" s="162"/>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84</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166</v>
      </c>
      <c r="E2" s="1828"/>
      <c r="F2" s="1830" t="str">
        <f>IF(ROIV_INFO_NAME="","",ROIV_INFO_NAME)</f>
        <v>ПАО "ТГК-1" филиал "Невский"</v>
      </c>
      <c r="G2" s="1657" t="s">
        <v>28</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85</v>
      </c>
      <c r="G3" s="1660" t="s">
        <v>86</v>
      </c>
      <c r="H3" s="1817"/>
      <c r="I3" s="1817"/>
      <c r="J3" s="1817"/>
      <c r="K3" s="1817"/>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522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5221"/>
      <c r="G5" s="5221"/>
      <c r="H5" s="5221"/>
      <c r="I5" s="5221"/>
      <c r="J5" s="5221"/>
      <c r="K5" s="5221"/>
      <c r="L5" s="1561"/>
      <c r="M5" s="185"/>
      <c r="N5" s="1550"/>
      <c r="O5" s="1550"/>
      <c r="P5" s="1550"/>
      <c r="Q5" s="1550"/>
      <c r="R5" s="1550"/>
      <c r="S5" s="162"/>
      <c r="T5" s="162"/>
      <c r="U5" s="162"/>
      <c r="V5" s="162"/>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4.65" customHeight="1">
      <c r="A7" s="1557"/>
      <c r="B7" s="1292"/>
      <c r="C7" s="1557"/>
      <c r="D7" s="1441"/>
      <c r="E7" s="5217" t="s">
        <v>327</v>
      </c>
      <c r="F7" s="5222"/>
      <c r="G7" s="5222"/>
      <c r="H7" s="5222"/>
      <c r="I7" s="5222"/>
      <c r="J7" s="5222"/>
      <c r="K7" s="5222"/>
      <c r="L7" s="5561" t="s">
        <v>328</v>
      </c>
      <c r="M7" s="1550"/>
      <c r="N7" s="1550"/>
      <c r="O7" s="1550"/>
      <c r="P7" s="1550"/>
      <c r="Q7" s="1550"/>
      <c r="R7" s="1550"/>
      <c r="S7" s="162"/>
      <c r="T7" s="162"/>
      <c r="U7" s="162"/>
      <c r="V7" s="162"/>
      <c r="IW7" s="1535">
        <v>14</v>
      </c>
    </row>
    <row r="8" spans="1:257" s="1744" customFormat="1" ht="67.150000000000006" customHeight="1">
      <c r="A8" s="1557"/>
      <c r="B8" s="1292"/>
      <c r="C8" s="1557"/>
      <c r="D8" s="1441"/>
      <c r="E8" s="5565" t="s">
        <v>90</v>
      </c>
      <c r="F8" s="5565" t="s">
        <v>1911</v>
      </c>
      <c r="G8" s="5567" t="s">
        <v>1912</v>
      </c>
      <c r="H8" s="5568"/>
      <c r="I8" s="5569"/>
      <c r="J8" s="5565" t="s">
        <v>1913</v>
      </c>
      <c r="K8" s="556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5563"/>
      <c r="M8" s="1550"/>
      <c r="N8" s="1550"/>
      <c r="O8" s="1550"/>
      <c r="P8" s="1550"/>
      <c r="Q8" s="1550"/>
      <c r="R8" s="1550"/>
      <c r="S8" s="162"/>
      <c r="T8" s="162"/>
      <c r="U8" s="162"/>
      <c r="V8" s="162"/>
      <c r="IW8" s="1535">
        <v>64</v>
      </c>
    </row>
    <row r="9" spans="1:257" s="1744" customFormat="1" ht="29.25" customHeight="1">
      <c r="A9" s="1557"/>
      <c r="B9" s="1292"/>
      <c r="C9" s="1557"/>
      <c r="D9" s="1441"/>
      <c r="E9" s="5566"/>
      <c r="F9" s="5566"/>
      <c r="G9" s="1818" t="s">
        <v>1907</v>
      </c>
      <c r="H9" s="1818" t="s">
        <v>1908</v>
      </c>
      <c r="I9" s="1818" t="s">
        <v>1909</v>
      </c>
      <c r="J9" s="5566"/>
      <c r="K9" s="5566"/>
      <c r="L9" s="5562"/>
      <c r="M9" s="1550"/>
      <c r="N9" s="1550"/>
      <c r="O9" s="1550"/>
      <c r="P9" s="1550"/>
      <c r="Q9" s="1550"/>
      <c r="R9" s="1550"/>
      <c r="S9" s="162"/>
      <c r="T9" s="162"/>
      <c r="U9" s="162"/>
      <c r="V9" s="162"/>
      <c r="IW9" s="1535">
        <v>28</v>
      </c>
    </row>
    <row r="10" spans="1:257" s="1774" customFormat="1" ht="1.1499999999999999" customHeight="1">
      <c r="A10" s="5220"/>
      <c r="B10" s="1292">
        <v>1</v>
      </c>
      <c r="C10" s="1292"/>
      <c r="D10" s="730"/>
      <c r="E10" s="725">
        <v>0</v>
      </c>
      <c r="F10" s="1815" t="str">
        <f>IF(ROIV_INFO_NAME="","",ROIV_INFO_NAME)</f>
        <v>ПАО "ТГК-1" филиал "Невский"</v>
      </c>
      <c r="G10" s="1658" t="s">
        <v>28</v>
      </c>
      <c r="H10" s="1827"/>
      <c r="I10" s="1827"/>
      <c r="J10" s="455"/>
      <c r="K10" s="455"/>
      <c r="L10" s="55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5220"/>
      <c r="B11" s="1292"/>
      <c r="C11" s="348"/>
      <c r="D11" s="731"/>
      <c r="E11" s="357"/>
      <c r="F11" s="587" t="s">
        <v>1910</v>
      </c>
      <c r="G11" s="125"/>
      <c r="H11" s="125"/>
      <c r="I11" s="125"/>
      <c r="J11" s="125"/>
      <c r="K11" s="360"/>
      <c r="L11" s="5564"/>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8"/>
      <c r="F12" s="118"/>
      <c r="G12" s="118"/>
      <c r="H12" s="118"/>
      <c r="I12" s="118"/>
      <c r="J12" s="118"/>
      <c r="K12" s="118"/>
      <c r="L12" s="118"/>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84</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166</v>
      </c>
      <c r="E2" s="5235">
        <v>1</v>
      </c>
      <c r="F2" s="5429" t="str">
        <f>IF(region_name="","",region_name)</f>
        <v>г.Санкт-Петербург</v>
      </c>
      <c r="G2" s="5578"/>
      <c r="H2" s="5579"/>
      <c r="I2" s="410"/>
      <c r="J2" s="1834">
        <v>1</v>
      </c>
      <c r="K2" s="1836"/>
      <c r="L2" s="1836"/>
      <c r="M2" s="1836"/>
      <c r="N2" s="428"/>
      <c r="O2" s="1461"/>
      <c r="P2" s="447"/>
      <c r="Q2" s="359">
        <v>0</v>
      </c>
    </row>
    <row r="3" spans="1:17" s="1774" customFormat="1" ht="22.5" hidden="1" customHeight="1">
      <c r="A3" s="761"/>
      <c r="B3" s="1086"/>
      <c r="C3" s="1086"/>
      <c r="D3" s="731"/>
      <c r="E3" s="5235"/>
      <c r="F3" s="5429"/>
      <c r="G3" s="5578"/>
      <c r="H3" s="5580"/>
      <c r="I3" s="357"/>
      <c r="J3" s="1426"/>
      <c r="K3" s="1426" t="s">
        <v>1914</v>
      </c>
      <c r="L3" s="1469"/>
      <c r="M3" s="1844"/>
      <c r="N3" s="1837"/>
      <c r="O3" s="1461"/>
      <c r="P3" s="447"/>
      <c r="Q3" s="359">
        <v>0</v>
      </c>
    </row>
    <row r="4" spans="1:17" s="1568" customFormat="1" ht="5.25" hidden="1" customHeight="1">
      <c r="A4" s="432"/>
      <c r="D4" s="430"/>
      <c r="F4" s="184" t="s">
        <v>85</v>
      </c>
      <c r="G4" s="430" t="s">
        <v>86</v>
      </c>
      <c r="H4" s="430"/>
      <c r="I4" s="1847"/>
      <c r="J4" s="1470"/>
      <c r="K4" s="1835"/>
      <c r="L4" s="1835"/>
      <c r="M4" s="1835"/>
      <c r="N4" s="1831"/>
      <c r="O4" s="184" t="s">
        <v>85</v>
      </c>
      <c r="P4" s="184"/>
      <c r="Q4" s="447">
        <v>0</v>
      </c>
    </row>
    <row r="5" spans="1:17" s="1774" customFormat="1" ht="22.5" hidden="1" customHeight="1">
      <c r="A5" s="1567"/>
      <c r="B5" s="1292">
        <v>1</v>
      </c>
      <c r="C5" s="1292"/>
      <c r="D5" s="731"/>
      <c r="E5" s="1837"/>
      <c r="F5" s="1837"/>
      <c r="G5" s="1837"/>
      <c r="H5" s="1848"/>
      <c r="I5" s="1850" t="s">
        <v>166</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4"/>
      <c r="P6" s="436"/>
      <c r="Q6" s="443">
        <v>14</v>
      </c>
    </row>
    <row r="7" spans="1:17" s="1744" customFormat="1" ht="27.4" customHeight="1">
      <c r="A7" s="1081"/>
      <c r="B7" s="1086"/>
      <c r="C7" s="1081"/>
      <c r="D7" s="1421"/>
      <c r="E7" s="557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5572"/>
      <c r="G7" s="5572"/>
      <c r="H7" s="5572"/>
      <c r="I7" s="5572"/>
      <c r="J7" s="5572"/>
      <c r="K7" s="5572"/>
      <c r="L7" s="5572"/>
      <c r="M7" s="5572"/>
      <c r="N7" s="1178"/>
      <c r="O7" s="184"/>
      <c r="P7" s="436"/>
      <c r="Q7" s="443">
        <v>26</v>
      </c>
    </row>
    <row r="8" spans="1:17" s="1744" customFormat="1" ht="14.65" customHeight="1">
      <c r="A8" s="1081"/>
      <c r="B8" s="1086"/>
      <c r="C8" s="1081"/>
      <c r="D8" s="1421"/>
      <c r="E8" s="445"/>
      <c r="F8" s="105"/>
      <c r="G8" s="105"/>
      <c r="H8" s="105"/>
      <c r="I8" s="105"/>
      <c r="J8" s="105"/>
      <c r="K8" s="105"/>
      <c r="L8" s="105"/>
      <c r="M8" s="105"/>
      <c r="N8" s="552"/>
      <c r="O8" s="436"/>
      <c r="P8" s="436"/>
      <c r="Q8" s="443">
        <v>14</v>
      </c>
    </row>
    <row r="9" spans="1:17" s="1472" customFormat="1" ht="14.25" hidden="1" customHeight="1">
      <c r="A9" s="1394"/>
      <c r="B9" s="1404"/>
      <c r="C9" s="1394"/>
      <c r="D9" s="1421"/>
      <c r="E9" s="1838"/>
      <c r="F9" s="1838"/>
      <c r="G9" s="1838"/>
      <c r="H9" s="1838"/>
      <c r="I9" s="5575"/>
      <c r="J9" s="5575"/>
      <c r="K9" s="5575"/>
      <c r="L9" s="1838"/>
      <c r="M9" s="1839"/>
      <c r="O9" s="1471"/>
      <c r="P9" s="1471"/>
      <c r="Q9" s="1472">
        <v>0</v>
      </c>
    </row>
    <row r="10" spans="1:17" s="1744" customFormat="1" ht="14.65" customHeight="1">
      <c r="A10" s="1081"/>
      <c r="B10" s="1086"/>
      <c r="C10" s="1081"/>
      <c r="D10" s="1421"/>
      <c r="E10" s="5235" t="s">
        <v>327</v>
      </c>
      <c r="F10" s="5235"/>
      <c r="G10" s="5235"/>
      <c r="H10" s="5235"/>
      <c r="I10" s="5235"/>
      <c r="J10" s="5235"/>
      <c r="K10" s="5235"/>
      <c r="L10" s="5235"/>
      <c r="M10" s="5217"/>
      <c r="N10" s="5565" t="s">
        <v>328</v>
      </c>
      <c r="O10" s="436"/>
      <c r="P10" s="436"/>
      <c r="Q10" s="443">
        <v>14</v>
      </c>
    </row>
    <row r="11" spans="1:17" s="1744" customFormat="1" ht="44.25" customHeight="1">
      <c r="A11" s="1557"/>
      <c r="B11" s="1292"/>
      <c r="C11" s="1557"/>
      <c r="D11" s="1441"/>
      <c r="E11" s="5574" t="s">
        <v>90</v>
      </c>
      <c r="F11" s="5574" t="s">
        <v>331</v>
      </c>
      <c r="G11" s="5574" t="s">
        <v>1915</v>
      </c>
      <c r="H11" s="5574"/>
      <c r="I11" s="5574" t="s">
        <v>1916</v>
      </c>
      <c r="J11" s="5574"/>
      <c r="K11" s="5574"/>
      <c r="L11" s="5574" t="s">
        <v>1917</v>
      </c>
      <c r="M11" s="5567" t="s">
        <v>1918</v>
      </c>
      <c r="N11" s="5573"/>
      <c r="O11" s="1550"/>
      <c r="P11" s="1550"/>
      <c r="Q11" s="1535">
        <v>42</v>
      </c>
    </row>
    <row r="12" spans="1:17" s="1744" customFormat="1" ht="29.25" customHeight="1">
      <c r="A12" s="1081"/>
      <c r="B12" s="1086"/>
      <c r="C12" s="1081"/>
      <c r="D12" s="1421"/>
      <c r="E12" s="5565"/>
      <c r="F12" s="5574"/>
      <c r="G12" s="1833" t="s">
        <v>1919</v>
      </c>
      <c r="H12" s="1833" t="s">
        <v>335</v>
      </c>
      <c r="I12" s="5574"/>
      <c r="J12" s="5574"/>
      <c r="K12" s="5574"/>
      <c r="L12" s="5574"/>
      <c r="M12" s="5567"/>
      <c r="N12" s="5566"/>
      <c r="O12" s="436"/>
      <c r="P12" s="436"/>
      <c r="Q12" s="443">
        <v>28</v>
      </c>
    </row>
    <row r="13" spans="1:17" s="1774" customFormat="1" ht="23.25" customHeight="1">
      <c r="A13" s="5220">
        <v>26379339</v>
      </c>
      <c r="B13" s="1086">
        <v>1</v>
      </c>
      <c r="C13" s="1086"/>
      <c r="D13" s="731"/>
      <c r="E13" s="5235">
        <v>1</v>
      </c>
      <c r="F13" s="5581" t="str">
        <f>IF(region_name="","",region_name)</f>
        <v>г.Санкт-Петербург</v>
      </c>
      <c r="G13" s="5582"/>
      <c r="H13" s="5576"/>
      <c r="I13" s="410"/>
      <c r="J13" s="1829">
        <v>1</v>
      </c>
      <c r="K13" s="1842"/>
      <c r="L13" s="1843"/>
      <c r="M13" s="1843"/>
      <c r="N13" s="5570" t="s">
        <v>1920</v>
      </c>
      <c r="O13" s="1461"/>
      <c r="P13" s="447"/>
      <c r="Q13" s="359">
        <v>22</v>
      </c>
    </row>
    <row r="14" spans="1:17" s="1774" customFormat="1" ht="23.25" customHeight="1">
      <c r="A14" s="5220"/>
      <c r="B14" s="1086"/>
      <c r="C14" s="1086"/>
      <c r="D14" s="731"/>
      <c r="E14" s="5235"/>
      <c r="F14" s="5581"/>
      <c r="G14" s="5582"/>
      <c r="H14" s="5577"/>
      <c r="I14" s="357"/>
      <c r="J14" s="1426"/>
      <c r="K14" s="1426" t="s">
        <v>1914</v>
      </c>
      <c r="L14" s="1469"/>
      <c r="M14" s="1469"/>
      <c r="N14" s="5571"/>
      <c r="O14" s="1461"/>
      <c r="P14" s="447"/>
      <c r="Q14" s="359">
        <v>22</v>
      </c>
    </row>
    <row r="15" spans="1:17" s="1774" customFormat="1" ht="23.25" customHeight="1">
      <c r="A15" s="5220"/>
      <c r="B15" s="1086"/>
      <c r="C15" s="348"/>
      <c r="D15" s="731"/>
      <c r="E15" s="357"/>
      <c r="F15" s="1426" t="s">
        <v>1906</v>
      </c>
      <c r="G15" s="1468"/>
      <c r="H15" s="1468"/>
      <c r="I15" s="125"/>
      <c r="J15" s="125"/>
      <c r="K15" s="125"/>
      <c r="L15" s="125"/>
      <c r="M15" s="125"/>
      <c r="N15" s="5571"/>
      <c r="O15" s="1462"/>
      <c r="P15" s="447"/>
      <c r="Q15" s="359">
        <v>22</v>
      </c>
    </row>
    <row r="16" spans="1:17" s="1744" customFormat="1" ht="21.95" customHeight="1">
      <c r="A16" s="1081"/>
      <c r="B16" s="1086"/>
      <c r="C16" s="1081"/>
      <c r="D16" s="387"/>
      <c r="E16" s="118"/>
      <c r="F16" s="118"/>
      <c r="G16" s="118"/>
      <c r="H16" s="118"/>
      <c r="I16" s="118"/>
      <c r="J16" s="118"/>
      <c r="K16" s="118"/>
      <c r="L16" s="118"/>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84</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7" hidden="1"/>
    <col min="3" max="3" width="3" style="60"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1" customFormat="1" ht="31.5" customHeight="1">
      <c r="A5" s="55"/>
      <c r="C5" s="30"/>
      <c r="D5" s="5221" t="s">
        <v>1921</v>
      </c>
      <c r="E5" s="5221"/>
      <c r="F5" s="5221"/>
      <c r="G5" s="5221"/>
      <c r="H5" s="5221"/>
      <c r="I5" s="202"/>
      <c r="M5" s="23">
        <v>30</v>
      </c>
    </row>
    <row r="6" spans="1:13" ht="3" hidden="1" customHeight="1">
      <c r="D6" s="62"/>
      <c r="E6" s="62"/>
      <c r="F6" s="62"/>
      <c r="G6" s="62"/>
      <c r="H6" s="62"/>
      <c r="I6" s="62"/>
      <c r="M6" s="61">
        <v>0</v>
      </c>
    </row>
    <row r="7" spans="1:13" s="294" customFormat="1" ht="14.65" customHeight="1">
      <c r="B7" s="59"/>
      <c r="C7" s="60"/>
      <c r="D7" s="63"/>
      <c r="E7" s="63"/>
      <c r="F7" s="63"/>
      <c r="G7" s="63"/>
      <c r="H7" s="688"/>
      <c r="I7" s="63"/>
      <c r="J7" s="64"/>
      <c r="M7" s="58">
        <v>14</v>
      </c>
    </row>
    <row r="8" spans="1:13" ht="14.65" customHeight="1">
      <c r="D8" s="5339" t="s">
        <v>327</v>
      </c>
      <c r="E8" s="5339"/>
      <c r="F8" s="5339"/>
      <c r="G8" s="5339"/>
      <c r="H8" s="5339"/>
      <c r="I8" s="5339" t="s">
        <v>328</v>
      </c>
      <c r="M8" s="61">
        <v>14</v>
      </c>
    </row>
    <row r="9" spans="1:13" ht="29.25" customHeight="1">
      <c r="D9" s="5339" t="s">
        <v>90</v>
      </c>
      <c r="E9" s="5339" t="s">
        <v>1922</v>
      </c>
      <c r="F9" s="5339"/>
      <c r="G9" s="5339"/>
      <c r="H9" s="5339"/>
      <c r="I9" s="5339"/>
      <c r="M9" s="61">
        <v>28</v>
      </c>
    </row>
    <row r="10" spans="1:13" ht="24" customHeight="1">
      <c r="D10" s="5339"/>
      <c r="E10" s="67" t="s">
        <v>1923</v>
      </c>
      <c r="F10" s="67" t="s">
        <v>1924</v>
      </c>
      <c r="G10" s="67" t="s">
        <v>1925</v>
      </c>
      <c r="H10" s="67" t="s">
        <v>417</v>
      </c>
      <c r="I10" s="5339"/>
      <c r="M10" s="61">
        <v>23</v>
      </c>
    </row>
    <row r="11" spans="1:13" ht="12" hidden="1" customHeight="1">
      <c r="D11" s="27" t="s">
        <v>111</v>
      </c>
      <c r="E11" s="27" t="s">
        <v>93</v>
      </c>
      <c r="F11" s="27" t="s">
        <v>113</v>
      </c>
      <c r="G11" s="27" t="s">
        <v>94</v>
      </c>
      <c r="H11" s="27" t="s">
        <v>95</v>
      </c>
      <c r="I11" s="27" t="s">
        <v>114</v>
      </c>
      <c r="M11" s="61">
        <v>0</v>
      </c>
    </row>
    <row r="12" spans="1:13" s="1747" customFormat="1" ht="26.25" customHeight="1">
      <c r="A12" s="83" t="s">
        <v>92</v>
      </c>
      <c r="B12" s="65" t="s">
        <v>28</v>
      </c>
      <c r="C12" s="66"/>
      <c r="D12" s="68" t="s">
        <v>111</v>
      </c>
      <c r="E12" s="317"/>
      <c r="F12" s="317"/>
      <c r="G12" s="1659" t="s">
        <v>28</v>
      </c>
      <c r="H12" s="318"/>
      <c r="I12" s="5281" t="s">
        <v>1926</v>
      </c>
      <c r="K12" s="209"/>
      <c r="L12" s="210"/>
      <c r="M12" s="57">
        <v>25</v>
      </c>
    </row>
    <row r="13" spans="1:13" ht="15.75" customHeight="1">
      <c r="A13" s="61"/>
      <c r="B13" s="61"/>
      <c r="C13" s="61"/>
      <c r="D13" s="49"/>
      <c r="E13" s="70" t="s">
        <v>500</v>
      </c>
      <c r="F13" s="69"/>
      <c r="G13" s="69"/>
      <c r="H13" s="152"/>
      <c r="I13" s="5283"/>
      <c r="M13" s="61">
        <v>15</v>
      </c>
    </row>
    <row r="14" spans="1:13" ht="3" customHeight="1">
      <c r="A14" s="61"/>
      <c r="B14" s="61"/>
      <c r="C14" s="61"/>
      <c r="M14" s="61">
        <v>3</v>
      </c>
    </row>
    <row r="15" spans="1:13" ht="29.25" customHeight="1">
      <c r="E15" s="5583" t="s">
        <v>1927</v>
      </c>
      <c r="F15" s="5583"/>
      <c r="G15" s="5583"/>
      <c r="H15" s="5583"/>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9" width="8" style="201" customWidth="1"/>
    <col min="10" max="10" width="9.140625" style="201"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5584" t="s">
        <v>1928</v>
      </c>
      <c r="E7" s="5585"/>
      <c r="F7" s="204"/>
      <c r="J7" s="9">
        <v>22</v>
      </c>
    </row>
    <row r="8" spans="1:10" ht="3" customHeight="1">
      <c r="C8" s="32"/>
      <c r="D8" s="10"/>
      <c r="E8" s="10"/>
      <c r="J8" s="9">
        <v>3</v>
      </c>
    </row>
    <row r="9" spans="1:10" ht="16.899999999999999" customHeight="1">
      <c r="C9" s="32"/>
      <c r="D9" s="45" t="s">
        <v>90</v>
      </c>
      <c r="E9" s="197" t="s">
        <v>1929</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t="s">
        <v>1930</v>
      </c>
      <c r="J12" s="9">
        <v>15</v>
      </c>
    </row>
    <row r="13" spans="1:10" ht="12.75" customHeight="1">
      <c r="C13" s="32"/>
      <c r="D13" s="199"/>
      <c r="E13" s="200" t="s">
        <v>1931</v>
      </c>
      <c r="J13" s="9">
        <v>12</v>
      </c>
    </row>
    <row r="14" spans="1:10" ht="3" customHeight="1">
      <c r="J14" s="9">
        <v>3</v>
      </c>
    </row>
    <row r="15" spans="1:10" ht="23.25" customHeight="1">
      <c r="C15" s="76"/>
      <c r="D15" s="5583" t="s">
        <v>1932</v>
      </c>
      <c r="E15" s="5583"/>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4"/>
  <sheetViews>
    <sheetView showGridLines="0" topLeftCell="C6" zoomScale="90" workbookViewId="0">
      <selection activeCell="E13" sqref="E13"/>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12" width="8" style="201" customWidth="1"/>
    <col min="13" max="13" width="9.140625" style="201"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5221" t="s">
        <v>1933</v>
      </c>
      <c r="E7" s="5221"/>
      <c r="F7" s="204"/>
      <c r="M7" s="9">
        <v>22</v>
      </c>
    </row>
    <row r="8" spans="1:13" ht="3" customHeight="1">
      <c r="C8" s="32"/>
      <c r="D8" s="10"/>
      <c r="E8" s="10"/>
      <c r="M8" s="9">
        <v>3</v>
      </c>
    </row>
    <row r="9" spans="1:13" ht="16.899999999999999" customHeight="1">
      <c r="C9" s="32"/>
      <c r="D9" s="45" t="s">
        <v>90</v>
      </c>
      <c r="E9" s="48" t="s">
        <v>314</v>
      </c>
      <c r="M9" s="9">
        <v>16</v>
      </c>
    </row>
    <row r="10" spans="1:13" ht="12.75" customHeight="1">
      <c r="C10" s="32"/>
      <c r="D10" s="27" t="s">
        <v>111</v>
      </c>
      <c r="E10" s="27" t="s">
        <v>112</v>
      </c>
      <c r="M10" s="9">
        <v>12</v>
      </c>
    </row>
    <row r="11" spans="1:13" ht="15" hidden="1" customHeight="1">
      <c r="C11" s="32"/>
      <c r="D11" s="53">
        <v>0</v>
      </c>
      <c r="E11" s="87"/>
      <c r="M11" s="9">
        <v>0</v>
      </c>
    </row>
    <row r="12" spans="1:13" ht="45.75" customHeight="1">
      <c r="C12" s="1742" t="s">
        <v>166</v>
      </c>
      <c r="D12" s="53" t="s">
        <v>111</v>
      </c>
      <c r="E12" s="54" t="s">
        <v>1934</v>
      </c>
    </row>
    <row r="13" spans="1:13" ht="14.65" customHeight="1">
      <c r="C13" s="32"/>
      <c r="D13" s="49"/>
      <c r="E13" s="47" t="s">
        <v>1931</v>
      </c>
      <c r="M13" s="9">
        <v>14</v>
      </c>
    </row>
    <row r="14" spans="1:13" ht="14.25" hidden="1" customHeight="1">
      <c r="A14" s="9" t="s">
        <v>84</v>
      </c>
      <c r="B14" s="9">
        <v>0</v>
      </c>
      <c r="C14" s="31">
        <v>3</v>
      </c>
      <c r="D14" s="9">
        <v>6</v>
      </c>
      <c r="E14" s="9">
        <v>94</v>
      </c>
      <c r="F14" s="9">
        <v>8</v>
      </c>
      <c r="G14" s="9">
        <v>8</v>
      </c>
      <c r="H14" s="9">
        <v>8</v>
      </c>
      <c r="I14" s="9">
        <v>8</v>
      </c>
      <c r="J14" s="9">
        <v>8</v>
      </c>
      <c r="K14" s="9">
        <v>8</v>
      </c>
      <c r="L14" s="9">
        <v>8</v>
      </c>
      <c r="M14" s="9">
        <v>14</v>
      </c>
    </row>
  </sheetData>
  <sheetProtection formatColumns="0" formatRows="0" insertRows="0" deleteColumns="0" deleteRows="0" sort="0" autoFilter="0"/>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306</v>
      </c>
      <c r="M2" s="1479" t="s">
        <v>307</v>
      </c>
      <c r="R2" s="1479" t="s">
        <v>308</v>
      </c>
      <c r="S2" s="1479" t="s">
        <v>307</v>
      </c>
      <c r="X2" s="1479" t="s">
        <v>306</v>
      </c>
      <c r="Y2" s="1479" t="s">
        <v>307</v>
      </c>
      <c r="AD2" s="1479" t="s">
        <v>306</v>
      </c>
      <c r="AE2" s="1479" t="s">
        <v>307</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5310" t="s">
        <v>309</v>
      </c>
      <c r="E4" s="5310"/>
      <c r="F4" s="5310"/>
      <c r="G4" s="5310"/>
      <c r="H4" s="5310"/>
      <c r="I4" s="5310"/>
      <c r="J4" s="5310"/>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5331" t="str">
        <f>IF(org=0,"Не определено",org)</f>
        <v>ПАО "ТГК-1" филиал "Невский"</v>
      </c>
      <c r="E5" s="5331"/>
      <c r="F5" s="5331"/>
      <c r="G5" s="5331"/>
      <c r="H5" s="5331"/>
      <c r="I5" s="5331"/>
      <c r="J5" s="5331"/>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5235" t="s">
        <v>90</v>
      </c>
      <c r="E8" s="5235" t="s">
        <v>107</v>
      </c>
      <c r="F8" s="5312" t="s">
        <v>124</v>
      </c>
      <c r="G8" s="5313"/>
      <c r="H8" s="5312" t="s">
        <v>90</v>
      </c>
      <c r="I8" s="5313"/>
      <c r="J8" s="5235" t="s">
        <v>125</v>
      </c>
      <c r="K8" s="1482"/>
      <c r="L8" s="5311" t="s">
        <v>310</v>
      </c>
      <c r="M8" s="5311"/>
      <c r="N8" s="5311"/>
      <c r="O8" s="5311"/>
      <c r="P8" s="5311"/>
      <c r="Q8" s="1483"/>
      <c r="R8" s="5217" t="s">
        <v>311</v>
      </c>
      <c r="S8" s="5222"/>
      <c r="T8" s="5222"/>
      <c r="U8" s="5222"/>
      <c r="V8" s="5222"/>
      <c r="W8" s="1483"/>
      <c r="X8" s="5235" t="s">
        <v>312</v>
      </c>
      <c r="Y8" s="5235"/>
      <c r="Z8" s="5235"/>
      <c r="AA8" s="5235"/>
      <c r="AB8" s="5235"/>
      <c r="AC8" s="1484"/>
      <c r="AD8" s="5235" t="s">
        <v>313</v>
      </c>
      <c r="AE8" s="5235"/>
      <c r="AF8" s="5235"/>
      <c r="AG8" s="5235"/>
      <c r="AH8" s="5217"/>
      <c r="AI8" s="5235" t="s">
        <v>314</v>
      </c>
      <c r="AJ8" s="1500"/>
      <c r="BM8" s="230">
        <v>32</v>
      </c>
    </row>
    <row r="9" spans="1:65" ht="23.25" customHeight="1">
      <c r="D9" s="5235"/>
      <c r="E9" s="5235"/>
      <c r="F9" s="5311" t="s">
        <v>91</v>
      </c>
      <c r="G9" s="5311" t="s">
        <v>130</v>
      </c>
      <c r="H9" s="5314"/>
      <c r="I9" s="5315"/>
      <c r="J9" s="5217"/>
      <c r="K9" s="1485"/>
      <c r="L9" s="5235" t="s">
        <v>315</v>
      </c>
      <c r="M9" s="5217"/>
      <c r="N9" s="5312" t="s">
        <v>90</v>
      </c>
      <c r="O9" s="5313"/>
      <c r="P9" s="5235" t="s">
        <v>131</v>
      </c>
      <c r="Q9" s="1482"/>
      <c r="R9" s="5235" t="s">
        <v>315</v>
      </c>
      <c r="S9" s="5217"/>
      <c r="T9" s="5312" t="s">
        <v>90</v>
      </c>
      <c r="U9" s="5313"/>
      <c r="V9" s="5235" t="s">
        <v>131</v>
      </c>
      <c r="W9" s="1482"/>
      <c r="X9" s="5235" t="s">
        <v>315</v>
      </c>
      <c r="Y9" s="5217"/>
      <c r="Z9" s="5312" t="s">
        <v>90</v>
      </c>
      <c r="AA9" s="5313"/>
      <c r="AB9" s="5235" t="s">
        <v>316</v>
      </c>
      <c r="AC9" s="1482"/>
      <c r="AD9" s="5235" t="s">
        <v>315</v>
      </c>
      <c r="AE9" s="5217"/>
      <c r="AF9" s="5312" t="s">
        <v>90</v>
      </c>
      <c r="AG9" s="5313"/>
      <c r="AH9" s="5217" t="s">
        <v>316</v>
      </c>
      <c r="AI9" s="5235"/>
      <c r="AJ9" s="1500"/>
      <c r="BM9" s="230">
        <v>22</v>
      </c>
    </row>
    <row r="10" spans="1:65" ht="24" customHeight="1">
      <c r="D10" s="5311"/>
      <c r="E10" s="5311"/>
      <c r="F10" s="5316"/>
      <c r="G10" s="5316"/>
      <c r="H10" s="5317"/>
      <c r="I10" s="5318"/>
      <c r="J10" s="5312"/>
      <c r="K10" s="1485"/>
      <c r="L10" s="1504" t="s">
        <v>317</v>
      </c>
      <c r="M10" s="1499" t="s">
        <v>318</v>
      </c>
      <c r="N10" s="5314"/>
      <c r="O10" s="5315"/>
      <c r="P10" s="5311"/>
      <c r="Q10" s="1482"/>
      <c r="R10" s="1504" t="s">
        <v>317</v>
      </c>
      <c r="S10" s="1499" t="s">
        <v>318</v>
      </c>
      <c r="T10" s="5314"/>
      <c r="U10" s="5315"/>
      <c r="V10" s="5311"/>
      <c r="W10" s="1482"/>
      <c r="X10" s="1504" t="s">
        <v>317</v>
      </c>
      <c r="Y10" s="1499" t="s">
        <v>318</v>
      </c>
      <c r="Z10" s="5314"/>
      <c r="AA10" s="5315"/>
      <c r="AB10" s="5311"/>
      <c r="AC10" s="1482"/>
      <c r="AD10" s="1504" t="s">
        <v>317</v>
      </c>
      <c r="AE10" s="1499" t="s">
        <v>318</v>
      </c>
      <c r="AF10" s="5314"/>
      <c r="AG10" s="5315"/>
      <c r="AH10" s="5312"/>
      <c r="AI10" s="5311"/>
      <c r="AJ10" s="1500"/>
      <c r="AK10" s="191" t="s">
        <v>319</v>
      </c>
      <c r="AL10" s="191" t="s">
        <v>132</v>
      </c>
      <c r="BM10" s="230">
        <v>23</v>
      </c>
    </row>
    <row r="11" spans="1:65" ht="15" customHeight="1">
      <c r="D11" s="5319" t="s">
        <v>111</v>
      </c>
      <c r="E11" s="5321" t="s">
        <v>320</v>
      </c>
      <c r="F11" s="5321" t="s">
        <v>321</v>
      </c>
      <c r="G11" s="5303" t="s">
        <v>19</v>
      </c>
      <c r="H11" s="1525"/>
      <c r="I11" s="5324"/>
      <c r="J11" s="5263"/>
      <c r="K11" s="1440"/>
      <c r="L11" s="5255"/>
      <c r="M11" s="5255"/>
      <c r="N11" s="1510"/>
      <c r="O11" s="5255"/>
      <c r="P11" s="5263"/>
      <c r="Q11" s="1511"/>
      <c r="R11" s="5255"/>
      <c r="S11" s="5255"/>
      <c r="T11" s="1512"/>
      <c r="U11" s="5255"/>
      <c r="V11" s="5263"/>
      <c r="W11" s="1513"/>
      <c r="X11" s="5255"/>
      <c r="Y11" s="5255"/>
      <c r="Z11" s="1510"/>
      <c r="AA11" s="5255"/>
      <c r="AB11" s="5263"/>
      <c r="AC11" s="1514"/>
      <c r="AD11" s="5255"/>
      <c r="AE11" s="5255"/>
      <c r="AF11" s="1439"/>
      <c r="AG11" s="1439"/>
      <c r="AH11" s="1515"/>
      <c r="AI11" s="1222"/>
      <c r="AJ11" s="1500"/>
      <c r="BM11" s="230">
        <v>14</v>
      </c>
    </row>
    <row r="12" spans="1:65" ht="14.65" customHeight="1">
      <c r="D12" s="5319"/>
      <c r="E12" s="5321"/>
      <c r="F12" s="5321"/>
      <c r="G12" s="5304"/>
      <c r="H12" s="1526"/>
      <c r="I12" s="5325"/>
      <c r="J12" s="5264"/>
      <c r="K12" s="1536"/>
      <c r="L12" s="5256"/>
      <c r="M12" s="5256"/>
      <c r="N12" s="1516"/>
      <c r="O12" s="5256"/>
      <c r="P12" s="5264"/>
      <c r="Q12" s="1517"/>
      <c r="R12" s="5256"/>
      <c r="S12" s="5256"/>
      <c r="T12" s="1518"/>
      <c r="U12" s="5256"/>
      <c r="V12" s="5264"/>
      <c r="W12" s="1519"/>
      <c r="X12" s="5256"/>
      <c r="Y12" s="5256"/>
      <c r="Z12" s="1516"/>
      <c r="AA12" s="5256"/>
      <c r="AB12" s="5264"/>
      <c r="AC12" s="1520"/>
      <c r="AD12" s="5256"/>
      <c r="AE12" s="5256"/>
      <c r="AF12" s="1521"/>
      <c r="AG12" s="1521"/>
      <c r="AH12" s="5328"/>
      <c r="AI12" s="5329"/>
      <c r="AJ12" s="1500"/>
      <c r="BM12" s="230">
        <v>14</v>
      </c>
    </row>
    <row r="13" spans="1:65" ht="14.65" customHeight="1">
      <c r="D13" s="5319"/>
      <c r="E13" s="5321"/>
      <c r="F13" s="5321"/>
      <c r="G13" s="5304"/>
      <c r="H13" s="1526"/>
      <c r="I13" s="5325"/>
      <c r="J13" s="5264"/>
      <c r="K13" s="1536"/>
      <c r="L13" s="5256"/>
      <c r="M13" s="5256"/>
      <c r="N13" s="1516"/>
      <c r="O13" s="5256"/>
      <c r="P13" s="5264"/>
      <c r="Q13" s="1517"/>
      <c r="R13" s="5256"/>
      <c r="S13" s="5256"/>
      <c r="T13" s="1518"/>
      <c r="U13" s="5256"/>
      <c r="V13" s="5264"/>
      <c r="W13" s="1519"/>
      <c r="X13" s="5256"/>
      <c r="Y13" s="5256"/>
      <c r="Z13" s="1438"/>
      <c r="AA13" s="1521"/>
      <c r="AB13" s="5328"/>
      <c r="AC13" s="5328"/>
      <c r="AD13" s="5328"/>
      <c r="AE13" s="5328"/>
      <c r="AF13" s="5328"/>
      <c r="AG13" s="5328"/>
      <c r="AH13" s="5328"/>
      <c r="AI13" s="5329"/>
      <c r="AJ13" s="1500"/>
      <c r="BM13" s="230">
        <v>14</v>
      </c>
    </row>
    <row r="14" spans="1:65" ht="14.65" customHeight="1">
      <c r="D14" s="5319"/>
      <c r="E14" s="5321"/>
      <c r="F14" s="5321"/>
      <c r="G14" s="5304"/>
      <c r="H14" s="1526"/>
      <c r="I14" s="5325"/>
      <c r="J14" s="5264"/>
      <c r="K14" s="1536"/>
      <c r="L14" s="5256"/>
      <c r="M14" s="5256"/>
      <c r="N14" s="1516"/>
      <c r="O14" s="5256"/>
      <c r="P14" s="5264"/>
      <c r="Q14" s="1517"/>
      <c r="R14" s="5256"/>
      <c r="S14" s="5256"/>
      <c r="T14" s="1522"/>
      <c r="U14" s="1523"/>
      <c r="V14" s="5328"/>
      <c r="W14" s="5328"/>
      <c r="X14" s="5328"/>
      <c r="Y14" s="5328"/>
      <c r="Z14" s="5328"/>
      <c r="AA14" s="5328"/>
      <c r="AB14" s="5328"/>
      <c r="AC14" s="5328"/>
      <c r="AD14" s="5328"/>
      <c r="AE14" s="5328"/>
      <c r="AF14" s="5328"/>
      <c r="AG14" s="5328"/>
      <c r="AH14" s="5328"/>
      <c r="AI14" s="5329"/>
      <c r="AJ14" s="1500"/>
      <c r="BM14" s="230">
        <v>14</v>
      </c>
    </row>
    <row r="15" spans="1:65" ht="11.45" customHeight="1">
      <c r="D15" s="5319"/>
      <c r="E15" s="5321"/>
      <c r="F15" s="5321"/>
      <c r="G15" s="5304"/>
      <c r="H15" s="1527"/>
      <c r="I15" s="5325"/>
      <c r="J15" s="5264"/>
      <c r="K15" s="1536"/>
      <c r="L15" s="5256"/>
      <c r="M15" s="5256"/>
      <c r="N15" s="1521"/>
      <c r="O15" s="1521"/>
      <c r="P15" s="5328"/>
      <c r="Q15" s="5328"/>
      <c r="R15" s="5328"/>
      <c r="S15" s="5328"/>
      <c r="T15" s="5328"/>
      <c r="U15" s="5328"/>
      <c r="V15" s="5328"/>
      <c r="W15" s="5328"/>
      <c r="X15" s="5328"/>
      <c r="Y15" s="5328"/>
      <c r="Z15" s="5328"/>
      <c r="AA15" s="5328"/>
      <c r="AB15" s="5328"/>
      <c r="AC15" s="5328"/>
      <c r="AD15" s="5328"/>
      <c r="AE15" s="5328"/>
      <c r="AF15" s="5328"/>
      <c r="AG15" s="5328"/>
      <c r="AH15" s="5328"/>
      <c r="AI15" s="5329"/>
      <c r="AJ15" s="1500"/>
      <c r="BM15" s="230">
        <v>11</v>
      </c>
    </row>
    <row r="16" spans="1:65" s="1480" customFormat="1" ht="11.45" customHeight="1">
      <c r="D16" s="5320"/>
      <c r="E16" s="5322"/>
      <c r="F16" s="5323"/>
      <c r="G16" s="5250"/>
      <c r="H16" s="1524"/>
      <c r="I16" s="1528"/>
      <c r="J16" s="5326"/>
      <c r="K16" s="5326"/>
      <c r="L16" s="5326"/>
      <c r="M16" s="5326"/>
      <c r="N16" s="5326"/>
      <c r="O16" s="5326"/>
      <c r="P16" s="5326"/>
      <c r="Q16" s="5326"/>
      <c r="R16" s="5326"/>
      <c r="S16" s="5326"/>
      <c r="T16" s="5326"/>
      <c r="U16" s="5326"/>
      <c r="V16" s="5326"/>
      <c r="W16" s="5326"/>
      <c r="X16" s="5326"/>
      <c r="Y16" s="5326"/>
      <c r="Z16" s="5326"/>
      <c r="AA16" s="5326"/>
      <c r="AB16" s="5326"/>
      <c r="AC16" s="5326"/>
      <c r="AD16" s="5326"/>
      <c r="AE16" s="5326"/>
      <c r="AF16" s="5326"/>
      <c r="AG16" s="5326"/>
      <c r="AH16" s="5326"/>
      <c r="AI16" s="5327"/>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5319" t="s">
        <v>112</v>
      </c>
      <c r="E17" s="5321" t="s">
        <v>320</v>
      </c>
      <c r="F17" s="5321" t="s">
        <v>322</v>
      </c>
      <c r="G17" s="5303" t="s">
        <v>19</v>
      </c>
      <c r="H17" s="1525"/>
      <c r="I17" s="5324"/>
      <c r="J17" s="5263"/>
      <c r="K17" s="1440"/>
      <c r="L17" s="5255"/>
      <c r="M17" s="5255"/>
      <c r="N17" s="1510"/>
      <c r="O17" s="5255"/>
      <c r="P17" s="5263"/>
      <c r="Q17" s="1511"/>
      <c r="R17" s="5255"/>
      <c r="S17" s="5255"/>
      <c r="T17" s="1512"/>
      <c r="U17" s="5255"/>
      <c r="V17" s="5263"/>
      <c r="W17" s="1513"/>
      <c r="X17" s="5255"/>
      <c r="Y17" s="5255"/>
      <c r="Z17" s="1510"/>
      <c r="AA17" s="5255"/>
      <c r="AB17" s="5263"/>
      <c r="AC17" s="1514"/>
      <c r="AD17" s="5255"/>
      <c r="AE17" s="5255"/>
      <c r="AF17" s="1439"/>
      <c r="AG17" s="1439"/>
      <c r="AH17" s="1515"/>
      <c r="AI17" s="1222"/>
      <c r="AJ17" s="1500"/>
      <c r="BM17" s="230">
        <v>14</v>
      </c>
    </row>
    <row r="18" spans="4:65" ht="14.65" customHeight="1">
      <c r="D18" s="5319"/>
      <c r="E18" s="5321"/>
      <c r="F18" s="5321"/>
      <c r="G18" s="5304"/>
      <c r="H18" s="1526"/>
      <c r="I18" s="5325"/>
      <c r="J18" s="5264"/>
      <c r="K18" s="1509"/>
      <c r="L18" s="5256"/>
      <c r="M18" s="5256"/>
      <c r="N18" s="1516"/>
      <c r="O18" s="5256"/>
      <c r="P18" s="5264"/>
      <c r="Q18" s="1517"/>
      <c r="R18" s="5256"/>
      <c r="S18" s="5256"/>
      <c r="T18" s="1518"/>
      <c r="U18" s="5256"/>
      <c r="V18" s="5264"/>
      <c r="W18" s="1519"/>
      <c r="X18" s="5256"/>
      <c r="Y18" s="5256"/>
      <c r="Z18" s="1516"/>
      <c r="AA18" s="5256"/>
      <c r="AB18" s="5264"/>
      <c r="AC18" s="1520"/>
      <c r="AD18" s="5256"/>
      <c r="AE18" s="5256"/>
      <c r="AF18" s="1521"/>
      <c r="AG18" s="1521"/>
      <c r="AH18" s="5328"/>
      <c r="AI18" s="5329"/>
      <c r="AJ18" s="1500"/>
      <c r="BM18" s="230">
        <v>14</v>
      </c>
    </row>
    <row r="19" spans="4:65" ht="14.65" customHeight="1">
      <c r="D19" s="5319"/>
      <c r="E19" s="5321"/>
      <c r="F19" s="5321"/>
      <c r="G19" s="5304"/>
      <c r="H19" s="1526"/>
      <c r="I19" s="5325"/>
      <c r="J19" s="5264"/>
      <c r="K19" s="1509"/>
      <c r="L19" s="5256"/>
      <c r="M19" s="5256"/>
      <c r="N19" s="1516"/>
      <c r="O19" s="5256"/>
      <c r="P19" s="5264"/>
      <c r="Q19" s="1517"/>
      <c r="R19" s="5256"/>
      <c r="S19" s="5256"/>
      <c r="T19" s="1518"/>
      <c r="U19" s="5256"/>
      <c r="V19" s="5264"/>
      <c r="W19" s="1519"/>
      <c r="X19" s="5256"/>
      <c r="Y19" s="5256"/>
      <c r="Z19" s="1438"/>
      <c r="AA19" s="1521"/>
      <c r="AB19" s="5328"/>
      <c r="AC19" s="5328"/>
      <c r="AD19" s="5328"/>
      <c r="AE19" s="5328"/>
      <c r="AF19" s="5328"/>
      <c r="AG19" s="5328"/>
      <c r="AH19" s="5328"/>
      <c r="AI19" s="5329"/>
      <c r="AJ19" s="1500"/>
      <c r="BM19" s="230">
        <v>14</v>
      </c>
    </row>
    <row r="20" spans="4:65" ht="14.65" customHeight="1">
      <c r="D20" s="5319"/>
      <c r="E20" s="5321"/>
      <c r="F20" s="5321"/>
      <c r="G20" s="5304"/>
      <c r="H20" s="1526"/>
      <c r="I20" s="5325"/>
      <c r="J20" s="5264"/>
      <c r="K20" s="1509"/>
      <c r="L20" s="5256"/>
      <c r="M20" s="5256"/>
      <c r="N20" s="1516"/>
      <c r="O20" s="5256"/>
      <c r="P20" s="5264"/>
      <c r="Q20" s="1517"/>
      <c r="R20" s="5256"/>
      <c r="S20" s="5256"/>
      <c r="T20" s="1522"/>
      <c r="U20" s="1523"/>
      <c r="V20" s="5328"/>
      <c r="W20" s="5328"/>
      <c r="X20" s="5328"/>
      <c r="Y20" s="5328"/>
      <c r="Z20" s="5328"/>
      <c r="AA20" s="5328"/>
      <c r="AB20" s="5328"/>
      <c r="AC20" s="5328"/>
      <c r="AD20" s="5328"/>
      <c r="AE20" s="5328"/>
      <c r="AF20" s="5328"/>
      <c r="AG20" s="5328"/>
      <c r="AH20" s="5328"/>
      <c r="AI20" s="5329"/>
      <c r="AJ20" s="1500"/>
      <c r="BM20" s="230">
        <v>14</v>
      </c>
    </row>
    <row r="21" spans="4:65" ht="11.45" customHeight="1">
      <c r="D21" s="5319"/>
      <c r="E21" s="5321"/>
      <c r="F21" s="5321"/>
      <c r="G21" s="5304"/>
      <c r="H21" s="1527"/>
      <c r="I21" s="5325"/>
      <c r="J21" s="5264"/>
      <c r="K21" s="1509"/>
      <c r="L21" s="5256"/>
      <c r="M21" s="5256"/>
      <c r="N21" s="1521"/>
      <c r="O21" s="1521"/>
      <c r="P21" s="5328"/>
      <c r="Q21" s="5328"/>
      <c r="R21" s="5328"/>
      <c r="S21" s="5328"/>
      <c r="T21" s="5328"/>
      <c r="U21" s="5328"/>
      <c r="V21" s="5328"/>
      <c r="W21" s="5328"/>
      <c r="X21" s="5328"/>
      <c r="Y21" s="5328"/>
      <c r="Z21" s="5328"/>
      <c r="AA21" s="5328"/>
      <c r="AB21" s="5328"/>
      <c r="AC21" s="5328"/>
      <c r="AD21" s="5328"/>
      <c r="AE21" s="5328"/>
      <c r="AF21" s="5328"/>
      <c r="AG21" s="5328"/>
      <c r="AH21" s="5328"/>
      <c r="AI21" s="5329"/>
      <c r="AJ21" s="1500"/>
      <c r="BM21" s="230">
        <v>11</v>
      </c>
    </row>
    <row r="22" spans="4:65" s="1480" customFormat="1" ht="11.45" customHeight="1">
      <c r="D22" s="5320"/>
      <c r="E22" s="5322"/>
      <c r="F22" s="5323"/>
      <c r="G22" s="5250"/>
      <c r="H22" s="1524"/>
      <c r="I22" s="1528"/>
      <c r="J22" s="5326"/>
      <c r="K22" s="5326"/>
      <c r="L22" s="5326"/>
      <c r="M22" s="5326"/>
      <c r="N22" s="5326"/>
      <c r="O22" s="5326"/>
      <c r="P22" s="5326"/>
      <c r="Q22" s="5326"/>
      <c r="R22" s="5326"/>
      <c r="S22" s="5326"/>
      <c r="T22" s="5326"/>
      <c r="U22" s="5326"/>
      <c r="V22" s="5326"/>
      <c r="W22" s="5326"/>
      <c r="X22" s="5326"/>
      <c r="Y22" s="5326"/>
      <c r="Z22" s="5326"/>
      <c r="AA22" s="5326"/>
      <c r="AB22" s="5326"/>
      <c r="AC22" s="5326"/>
      <c r="AD22" s="5326"/>
      <c r="AE22" s="5326"/>
      <c r="AF22" s="5326"/>
      <c r="AG22" s="5326"/>
      <c r="AH22" s="5326"/>
      <c r="AI22" s="5327"/>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5319" t="s">
        <v>92</v>
      </c>
      <c r="E23" s="5321" t="s">
        <v>320</v>
      </c>
      <c r="F23" s="5321" t="s">
        <v>323</v>
      </c>
      <c r="G23" s="5303" t="s">
        <v>19</v>
      </c>
      <c r="H23" s="1525"/>
      <c r="I23" s="5324"/>
      <c r="J23" s="5263"/>
      <c r="K23" s="1440"/>
      <c r="L23" s="5255"/>
      <c r="M23" s="5255"/>
      <c r="N23" s="1510"/>
      <c r="O23" s="5255"/>
      <c r="P23" s="5263"/>
      <c r="Q23" s="1511"/>
      <c r="R23" s="5255"/>
      <c r="S23" s="5255"/>
      <c r="T23" s="1512"/>
      <c r="U23" s="5255"/>
      <c r="V23" s="5263"/>
      <c r="W23" s="1513"/>
      <c r="X23" s="5255"/>
      <c r="Y23" s="5255"/>
      <c r="Z23" s="1510"/>
      <c r="AA23" s="5255"/>
      <c r="AB23" s="5263"/>
      <c r="AC23" s="1514"/>
      <c r="AD23" s="5255"/>
      <c r="AE23" s="5255"/>
      <c r="AF23" s="1439"/>
      <c r="AG23" s="1439"/>
      <c r="AH23" s="1515"/>
      <c r="AI23" s="1222"/>
      <c r="AJ23" s="1500"/>
      <c r="AK23" s="243" t="s">
        <v>100</v>
      </c>
      <c r="BM23" s="230">
        <v>14</v>
      </c>
    </row>
    <row r="24" spans="4:65" ht="14.65" customHeight="1">
      <c r="D24" s="5319"/>
      <c r="E24" s="5321"/>
      <c r="F24" s="5321"/>
      <c r="G24" s="5304"/>
      <c r="H24" s="1526"/>
      <c r="I24" s="5325"/>
      <c r="J24" s="5264"/>
      <c r="K24" s="1536"/>
      <c r="L24" s="5256"/>
      <c r="M24" s="5256"/>
      <c r="N24" s="1516"/>
      <c r="O24" s="5256"/>
      <c r="P24" s="5264"/>
      <c r="Q24" s="1517"/>
      <c r="R24" s="5256"/>
      <c r="S24" s="5256"/>
      <c r="T24" s="1518"/>
      <c r="U24" s="5256"/>
      <c r="V24" s="5264"/>
      <c r="W24" s="1519"/>
      <c r="X24" s="5256"/>
      <c r="Y24" s="5256"/>
      <c r="Z24" s="1516"/>
      <c r="AA24" s="5256"/>
      <c r="AB24" s="5264"/>
      <c r="AC24" s="1520"/>
      <c r="AD24" s="5256"/>
      <c r="AE24" s="5256"/>
      <c r="AF24" s="1521"/>
      <c r="AG24" s="1521"/>
      <c r="AH24" s="5328"/>
      <c r="AI24" s="5329"/>
      <c r="AJ24" s="1500"/>
      <c r="BM24" s="230">
        <v>14</v>
      </c>
    </row>
    <row r="25" spans="4:65" ht="14.65" customHeight="1">
      <c r="D25" s="5319"/>
      <c r="E25" s="5321"/>
      <c r="F25" s="5321"/>
      <c r="G25" s="5304"/>
      <c r="H25" s="1526"/>
      <c r="I25" s="5325"/>
      <c r="J25" s="5264"/>
      <c r="K25" s="1536"/>
      <c r="L25" s="5256"/>
      <c r="M25" s="5256"/>
      <c r="N25" s="1516"/>
      <c r="O25" s="5256"/>
      <c r="P25" s="5264"/>
      <c r="Q25" s="1517"/>
      <c r="R25" s="5256"/>
      <c r="S25" s="5256"/>
      <c r="T25" s="1518"/>
      <c r="U25" s="5256"/>
      <c r="V25" s="5264"/>
      <c r="W25" s="1519"/>
      <c r="X25" s="5256"/>
      <c r="Y25" s="5256"/>
      <c r="Z25" s="1438"/>
      <c r="AA25" s="1521"/>
      <c r="AB25" s="5328"/>
      <c r="AC25" s="5328"/>
      <c r="AD25" s="5328"/>
      <c r="AE25" s="5328"/>
      <c r="AF25" s="5328"/>
      <c r="AG25" s="5328"/>
      <c r="AH25" s="5328"/>
      <c r="AI25" s="5329"/>
      <c r="AJ25" s="1500"/>
      <c r="BM25" s="230">
        <v>14</v>
      </c>
    </row>
    <row r="26" spans="4:65" ht="14.65" customHeight="1">
      <c r="D26" s="5319"/>
      <c r="E26" s="5321"/>
      <c r="F26" s="5321"/>
      <c r="G26" s="5304"/>
      <c r="H26" s="1526"/>
      <c r="I26" s="5325"/>
      <c r="J26" s="5264"/>
      <c r="K26" s="1536"/>
      <c r="L26" s="5256"/>
      <c r="M26" s="5256"/>
      <c r="N26" s="1516"/>
      <c r="O26" s="5256"/>
      <c r="P26" s="5264"/>
      <c r="Q26" s="1517"/>
      <c r="R26" s="5256"/>
      <c r="S26" s="5256"/>
      <c r="T26" s="1522"/>
      <c r="U26" s="1523"/>
      <c r="V26" s="5328"/>
      <c r="W26" s="5328"/>
      <c r="X26" s="5328"/>
      <c r="Y26" s="5328"/>
      <c r="Z26" s="5328"/>
      <c r="AA26" s="5328"/>
      <c r="AB26" s="5328"/>
      <c r="AC26" s="5328"/>
      <c r="AD26" s="5328"/>
      <c r="AE26" s="5328"/>
      <c r="AF26" s="5328"/>
      <c r="AG26" s="5328"/>
      <c r="AH26" s="5328"/>
      <c r="AI26" s="5329"/>
      <c r="AJ26" s="1500"/>
      <c r="BM26" s="230">
        <v>14</v>
      </c>
    </row>
    <row r="27" spans="4:65" ht="11.45" customHeight="1">
      <c r="D27" s="5319"/>
      <c r="E27" s="5321"/>
      <c r="F27" s="5321"/>
      <c r="G27" s="5304"/>
      <c r="H27" s="1527"/>
      <c r="I27" s="5325"/>
      <c r="J27" s="5264"/>
      <c r="K27" s="1536"/>
      <c r="L27" s="5256"/>
      <c r="M27" s="5256"/>
      <c r="N27" s="1521"/>
      <c r="O27" s="1521"/>
      <c r="P27" s="5328"/>
      <c r="Q27" s="5328"/>
      <c r="R27" s="5328"/>
      <c r="S27" s="5328"/>
      <c r="T27" s="5328"/>
      <c r="U27" s="5328"/>
      <c r="V27" s="5328"/>
      <c r="W27" s="5328"/>
      <c r="X27" s="5328"/>
      <c r="Y27" s="5328"/>
      <c r="Z27" s="5328"/>
      <c r="AA27" s="5328"/>
      <c r="AB27" s="5328"/>
      <c r="AC27" s="5328"/>
      <c r="AD27" s="5328"/>
      <c r="AE27" s="5328"/>
      <c r="AF27" s="5328"/>
      <c r="AG27" s="5328"/>
      <c r="AH27" s="5328"/>
      <c r="AI27" s="5329"/>
      <c r="AJ27" s="1500"/>
      <c r="BM27" s="230">
        <v>11</v>
      </c>
    </row>
    <row r="28" spans="4:65" s="1480" customFormat="1" ht="11.45" customHeight="1">
      <c r="D28" s="5320"/>
      <c r="E28" s="5322"/>
      <c r="F28" s="5323"/>
      <c r="G28" s="5250"/>
      <c r="H28" s="1524"/>
      <c r="I28" s="1528"/>
      <c r="J28" s="5326"/>
      <c r="K28" s="5326"/>
      <c r="L28" s="5326"/>
      <c r="M28" s="5326"/>
      <c r="N28" s="5326"/>
      <c r="O28" s="5326"/>
      <c r="P28" s="5326"/>
      <c r="Q28" s="5326"/>
      <c r="R28" s="5326"/>
      <c r="S28" s="5326"/>
      <c r="T28" s="5326"/>
      <c r="U28" s="5326"/>
      <c r="V28" s="5326"/>
      <c r="W28" s="5326"/>
      <c r="X28" s="5326"/>
      <c r="Y28" s="5326"/>
      <c r="Z28" s="5326"/>
      <c r="AA28" s="5326"/>
      <c r="AB28" s="5326"/>
      <c r="AC28" s="5326"/>
      <c r="AD28" s="5326"/>
      <c r="AE28" s="5326"/>
      <c r="AF28" s="5326"/>
      <c r="AG28" s="5326"/>
      <c r="AH28" s="5326"/>
      <c r="AI28" s="5327"/>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5319" t="s">
        <v>93</v>
      </c>
      <c r="E29" s="5321" t="s">
        <v>320</v>
      </c>
      <c r="F29" s="5321" t="s">
        <v>324</v>
      </c>
      <c r="G29" s="5303" t="s">
        <v>19</v>
      </c>
      <c r="H29" s="1525"/>
      <c r="I29" s="5324"/>
      <c r="J29" s="5263"/>
      <c r="K29" s="1440"/>
      <c r="L29" s="5255"/>
      <c r="M29" s="5255"/>
      <c r="N29" s="1510"/>
      <c r="O29" s="5255"/>
      <c r="P29" s="5263"/>
      <c r="Q29" s="1511"/>
      <c r="R29" s="5255"/>
      <c r="S29" s="5255"/>
      <c r="T29" s="1512"/>
      <c r="U29" s="5255"/>
      <c r="V29" s="5263"/>
      <c r="W29" s="1513"/>
      <c r="X29" s="5255"/>
      <c r="Y29" s="5255"/>
      <c r="Z29" s="1510"/>
      <c r="AA29" s="5255"/>
      <c r="AB29" s="5263"/>
      <c r="AC29" s="1514"/>
      <c r="AD29" s="5255"/>
      <c r="AE29" s="5255"/>
      <c r="AF29" s="1439"/>
      <c r="AG29" s="1439"/>
      <c r="AH29" s="1515"/>
      <c r="AI29" s="1222"/>
      <c r="AJ29" s="1500"/>
      <c r="BM29" s="230">
        <v>14</v>
      </c>
    </row>
    <row r="30" spans="4:65" ht="14.65" customHeight="1">
      <c r="D30" s="5319"/>
      <c r="E30" s="5321"/>
      <c r="F30" s="5321"/>
      <c r="G30" s="5304"/>
      <c r="H30" s="1526"/>
      <c r="I30" s="5325"/>
      <c r="J30" s="5264"/>
      <c r="K30" s="1509"/>
      <c r="L30" s="5256"/>
      <c r="M30" s="5256"/>
      <c r="N30" s="1516"/>
      <c r="O30" s="5256"/>
      <c r="P30" s="5264"/>
      <c r="Q30" s="1517"/>
      <c r="R30" s="5256"/>
      <c r="S30" s="5256"/>
      <c r="T30" s="1518"/>
      <c r="U30" s="5256"/>
      <c r="V30" s="5264"/>
      <c r="W30" s="1519"/>
      <c r="X30" s="5256"/>
      <c r="Y30" s="5256"/>
      <c r="Z30" s="1516"/>
      <c r="AA30" s="5256"/>
      <c r="AB30" s="5264"/>
      <c r="AC30" s="1520"/>
      <c r="AD30" s="5256"/>
      <c r="AE30" s="5256"/>
      <c r="AF30" s="1521"/>
      <c r="AG30" s="1521"/>
      <c r="AH30" s="5328"/>
      <c r="AI30" s="5329"/>
      <c r="AJ30" s="1500"/>
      <c r="BM30" s="230">
        <v>14</v>
      </c>
    </row>
    <row r="31" spans="4:65" ht="14.65" customHeight="1">
      <c r="D31" s="5319"/>
      <c r="E31" s="5321"/>
      <c r="F31" s="5321"/>
      <c r="G31" s="5304"/>
      <c r="H31" s="1526"/>
      <c r="I31" s="5325"/>
      <c r="J31" s="5264"/>
      <c r="K31" s="1509"/>
      <c r="L31" s="5256"/>
      <c r="M31" s="5256"/>
      <c r="N31" s="1516"/>
      <c r="O31" s="5256"/>
      <c r="P31" s="5264"/>
      <c r="Q31" s="1517"/>
      <c r="R31" s="5256"/>
      <c r="S31" s="5256"/>
      <c r="T31" s="1518"/>
      <c r="U31" s="5256"/>
      <c r="V31" s="5264"/>
      <c r="W31" s="1519"/>
      <c r="X31" s="5256"/>
      <c r="Y31" s="5256"/>
      <c r="Z31" s="1438"/>
      <c r="AA31" s="1521"/>
      <c r="AB31" s="5328"/>
      <c r="AC31" s="5328"/>
      <c r="AD31" s="5328"/>
      <c r="AE31" s="5328"/>
      <c r="AF31" s="5328"/>
      <c r="AG31" s="5328"/>
      <c r="AH31" s="5328"/>
      <c r="AI31" s="5329"/>
      <c r="AJ31" s="1500"/>
      <c r="BM31" s="230">
        <v>14</v>
      </c>
    </row>
    <row r="32" spans="4:65" ht="14.65" customHeight="1">
      <c r="D32" s="5319"/>
      <c r="E32" s="5321"/>
      <c r="F32" s="5321"/>
      <c r="G32" s="5304"/>
      <c r="H32" s="1526"/>
      <c r="I32" s="5325"/>
      <c r="J32" s="5264"/>
      <c r="K32" s="1509"/>
      <c r="L32" s="5256"/>
      <c r="M32" s="5256"/>
      <c r="N32" s="1516"/>
      <c r="O32" s="5256"/>
      <c r="P32" s="5264"/>
      <c r="Q32" s="1517"/>
      <c r="R32" s="5256"/>
      <c r="S32" s="5256"/>
      <c r="T32" s="1522"/>
      <c r="U32" s="1523"/>
      <c r="V32" s="5328"/>
      <c r="W32" s="5328"/>
      <c r="X32" s="5328"/>
      <c r="Y32" s="5328"/>
      <c r="Z32" s="5328"/>
      <c r="AA32" s="5328"/>
      <c r="AB32" s="5328"/>
      <c r="AC32" s="5328"/>
      <c r="AD32" s="5328"/>
      <c r="AE32" s="5328"/>
      <c r="AF32" s="5328"/>
      <c r="AG32" s="5328"/>
      <c r="AH32" s="5328"/>
      <c r="AI32" s="5329"/>
      <c r="AJ32" s="1500"/>
      <c r="BM32" s="230">
        <v>14</v>
      </c>
    </row>
    <row r="33" spans="4:65" ht="11.45" customHeight="1">
      <c r="D33" s="5319"/>
      <c r="E33" s="5321"/>
      <c r="F33" s="5321"/>
      <c r="G33" s="5304"/>
      <c r="H33" s="1527"/>
      <c r="I33" s="5325"/>
      <c r="J33" s="5264"/>
      <c r="K33" s="1509"/>
      <c r="L33" s="5256"/>
      <c r="M33" s="5256"/>
      <c r="N33" s="1521"/>
      <c r="O33" s="1521"/>
      <c r="P33" s="5328"/>
      <c r="Q33" s="5328"/>
      <c r="R33" s="5328"/>
      <c r="S33" s="5328"/>
      <c r="T33" s="5328"/>
      <c r="U33" s="5328"/>
      <c r="V33" s="5328"/>
      <c r="W33" s="5328"/>
      <c r="X33" s="5328"/>
      <c r="Y33" s="5328"/>
      <c r="Z33" s="5328"/>
      <c r="AA33" s="5328"/>
      <c r="AB33" s="5328"/>
      <c r="AC33" s="5328"/>
      <c r="AD33" s="5328"/>
      <c r="AE33" s="5328"/>
      <c r="AF33" s="5328"/>
      <c r="AG33" s="5328"/>
      <c r="AH33" s="5328"/>
      <c r="AI33" s="5329"/>
      <c r="AJ33" s="1500"/>
      <c r="BM33" s="230">
        <v>11</v>
      </c>
    </row>
    <row r="34" spans="4:65" s="1480" customFormat="1" ht="11.45" customHeight="1">
      <c r="D34" s="5320"/>
      <c r="E34" s="5322"/>
      <c r="F34" s="5323"/>
      <c r="G34" s="5250"/>
      <c r="H34" s="1524"/>
      <c r="I34" s="1528"/>
      <c r="J34" s="5326"/>
      <c r="K34" s="5326"/>
      <c r="L34" s="5326"/>
      <c r="M34" s="5326"/>
      <c r="N34" s="5326"/>
      <c r="O34" s="5326"/>
      <c r="P34" s="5326"/>
      <c r="Q34" s="5326"/>
      <c r="R34" s="5326"/>
      <c r="S34" s="5326"/>
      <c r="T34" s="5326"/>
      <c r="U34" s="5326"/>
      <c r="V34" s="5326"/>
      <c r="W34" s="5326"/>
      <c r="X34" s="5326"/>
      <c r="Y34" s="5326"/>
      <c r="Z34" s="5326"/>
      <c r="AA34" s="5326"/>
      <c r="AB34" s="5326"/>
      <c r="AC34" s="5326"/>
      <c r="AD34" s="5326"/>
      <c r="AE34" s="5326"/>
      <c r="AF34" s="5326"/>
      <c r="AG34" s="5326"/>
      <c r="AH34" s="5326"/>
      <c r="AI34" s="5327"/>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5319" t="s">
        <v>113</v>
      </c>
      <c r="E35" s="5321" t="s">
        <v>320</v>
      </c>
      <c r="F35" s="5321" t="s">
        <v>325</v>
      </c>
      <c r="G35" s="5303" t="s">
        <v>19</v>
      </c>
      <c r="H35" s="1525"/>
      <c r="I35" s="5324"/>
      <c r="J35" s="5263"/>
      <c r="K35" s="1440"/>
      <c r="L35" s="5255"/>
      <c r="M35" s="5255"/>
      <c r="N35" s="1510"/>
      <c r="O35" s="5255"/>
      <c r="P35" s="5263"/>
      <c r="Q35" s="1511"/>
      <c r="R35" s="5255"/>
      <c r="S35" s="5255"/>
      <c r="T35" s="1512"/>
      <c r="U35" s="5255"/>
      <c r="V35" s="5263"/>
      <c r="W35" s="1513"/>
      <c r="X35" s="5255"/>
      <c r="Y35" s="5255"/>
      <c r="Z35" s="1510"/>
      <c r="AA35" s="5255"/>
      <c r="AB35" s="5263"/>
      <c r="AC35" s="1514"/>
      <c r="AD35" s="5255"/>
      <c r="AE35" s="5255"/>
      <c r="AF35" s="1439"/>
      <c r="AG35" s="1439"/>
      <c r="AH35" s="1515"/>
      <c r="AI35" s="1222"/>
      <c r="AJ35" s="1500"/>
      <c r="BM35" s="230">
        <v>14</v>
      </c>
    </row>
    <row r="36" spans="4:65" ht="14.65" customHeight="1">
      <c r="D36" s="5319"/>
      <c r="E36" s="5321"/>
      <c r="F36" s="5321"/>
      <c r="G36" s="5304"/>
      <c r="H36" s="1526"/>
      <c r="I36" s="5325"/>
      <c r="J36" s="5264"/>
      <c r="K36" s="1509"/>
      <c r="L36" s="5256"/>
      <c r="M36" s="5256"/>
      <c r="N36" s="1516"/>
      <c r="O36" s="5256"/>
      <c r="P36" s="5264"/>
      <c r="Q36" s="1517"/>
      <c r="R36" s="5256"/>
      <c r="S36" s="5256"/>
      <c r="T36" s="1518"/>
      <c r="U36" s="5256"/>
      <c r="V36" s="5264"/>
      <c r="W36" s="1519"/>
      <c r="X36" s="5256"/>
      <c r="Y36" s="5256"/>
      <c r="Z36" s="1516"/>
      <c r="AA36" s="5256"/>
      <c r="AB36" s="5264"/>
      <c r="AC36" s="1520"/>
      <c r="AD36" s="5256"/>
      <c r="AE36" s="5256"/>
      <c r="AF36" s="1521"/>
      <c r="AG36" s="1521"/>
      <c r="AH36" s="5328"/>
      <c r="AI36" s="5329"/>
      <c r="AJ36" s="1500"/>
      <c r="BM36" s="230">
        <v>14</v>
      </c>
    </row>
    <row r="37" spans="4:65" ht="14.65" customHeight="1">
      <c r="D37" s="5319"/>
      <c r="E37" s="5321"/>
      <c r="F37" s="5321"/>
      <c r="G37" s="5304"/>
      <c r="H37" s="1526"/>
      <c r="I37" s="5325"/>
      <c r="J37" s="5264"/>
      <c r="K37" s="1509"/>
      <c r="L37" s="5256"/>
      <c r="M37" s="5256"/>
      <c r="N37" s="1516"/>
      <c r="O37" s="5256"/>
      <c r="P37" s="5264"/>
      <c r="Q37" s="1517"/>
      <c r="R37" s="5256"/>
      <c r="S37" s="5256"/>
      <c r="T37" s="1518"/>
      <c r="U37" s="5256"/>
      <c r="V37" s="5264"/>
      <c r="W37" s="1519"/>
      <c r="X37" s="5256"/>
      <c r="Y37" s="5256"/>
      <c r="Z37" s="1438"/>
      <c r="AA37" s="1521"/>
      <c r="AB37" s="5328"/>
      <c r="AC37" s="5328"/>
      <c r="AD37" s="5328"/>
      <c r="AE37" s="5328"/>
      <c r="AF37" s="5328"/>
      <c r="AG37" s="5328"/>
      <c r="AH37" s="5328"/>
      <c r="AI37" s="5329"/>
      <c r="AJ37" s="1500"/>
      <c r="BM37" s="230">
        <v>14</v>
      </c>
    </row>
    <row r="38" spans="4:65" ht="14.65" customHeight="1">
      <c r="D38" s="5319"/>
      <c r="E38" s="5321"/>
      <c r="F38" s="5321"/>
      <c r="G38" s="5304"/>
      <c r="H38" s="1526"/>
      <c r="I38" s="5325"/>
      <c r="J38" s="5264"/>
      <c r="K38" s="1509"/>
      <c r="L38" s="5256"/>
      <c r="M38" s="5256"/>
      <c r="N38" s="1516"/>
      <c r="O38" s="5256"/>
      <c r="P38" s="5264"/>
      <c r="Q38" s="1517"/>
      <c r="R38" s="5256"/>
      <c r="S38" s="5256"/>
      <c r="T38" s="1522"/>
      <c r="U38" s="1523"/>
      <c r="V38" s="5328"/>
      <c r="W38" s="5328"/>
      <c r="X38" s="5328"/>
      <c r="Y38" s="5328"/>
      <c r="Z38" s="5328"/>
      <c r="AA38" s="5328"/>
      <c r="AB38" s="5328"/>
      <c r="AC38" s="5328"/>
      <c r="AD38" s="5328"/>
      <c r="AE38" s="5328"/>
      <c r="AF38" s="5328"/>
      <c r="AG38" s="5328"/>
      <c r="AH38" s="5328"/>
      <c r="AI38" s="5329"/>
      <c r="AJ38" s="1500"/>
      <c r="BM38" s="230">
        <v>14</v>
      </c>
    </row>
    <row r="39" spans="4:65" ht="11.45" customHeight="1">
      <c r="D39" s="5319"/>
      <c r="E39" s="5321"/>
      <c r="F39" s="5321"/>
      <c r="G39" s="5304"/>
      <c r="H39" s="1527"/>
      <c r="I39" s="5325"/>
      <c r="J39" s="5264"/>
      <c r="K39" s="1509"/>
      <c r="L39" s="5256"/>
      <c r="M39" s="5256"/>
      <c r="N39" s="1521"/>
      <c r="O39" s="1521"/>
      <c r="P39" s="5328"/>
      <c r="Q39" s="5328"/>
      <c r="R39" s="5328"/>
      <c r="S39" s="5328"/>
      <c r="T39" s="5328"/>
      <c r="U39" s="5328"/>
      <c r="V39" s="5328"/>
      <c r="W39" s="5328"/>
      <c r="X39" s="5328"/>
      <c r="Y39" s="5328"/>
      <c r="Z39" s="5328"/>
      <c r="AA39" s="5328"/>
      <c r="AB39" s="5328"/>
      <c r="AC39" s="5328"/>
      <c r="AD39" s="5328"/>
      <c r="AE39" s="5328"/>
      <c r="AF39" s="5328"/>
      <c r="AG39" s="5328"/>
      <c r="AH39" s="5328"/>
      <c r="AI39" s="5329"/>
      <c r="AJ39" s="1500"/>
      <c r="BM39" s="230">
        <v>11</v>
      </c>
    </row>
    <row r="40" spans="4:65" s="1480" customFormat="1" ht="11.45" customHeight="1">
      <c r="D40" s="5319"/>
      <c r="E40" s="5321"/>
      <c r="F40" s="5330"/>
      <c r="G40" s="5250"/>
      <c r="H40" s="1524"/>
      <c r="I40" s="1528"/>
      <c r="J40" s="5326"/>
      <c r="K40" s="5326"/>
      <c r="L40" s="5326"/>
      <c r="M40" s="5326"/>
      <c r="N40" s="5326"/>
      <c r="O40" s="5326"/>
      <c r="P40" s="5326"/>
      <c r="Q40" s="5326"/>
      <c r="R40" s="5326"/>
      <c r="S40" s="5326"/>
      <c r="T40" s="5326"/>
      <c r="U40" s="5326"/>
      <c r="V40" s="5326"/>
      <c r="W40" s="5326"/>
      <c r="X40" s="5326"/>
      <c r="Y40" s="5326"/>
      <c r="Z40" s="5326"/>
      <c r="AA40" s="5326"/>
      <c r="AB40" s="5326"/>
      <c r="AC40" s="5326"/>
      <c r="AD40" s="5326"/>
      <c r="AE40" s="5326"/>
      <c r="AF40" s="5326"/>
      <c r="AG40" s="5326"/>
      <c r="AH40" s="5326"/>
      <c r="AI40" s="5327"/>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9" t="s">
        <v>14</v>
      </c>
    </row>
    <row r="2" spans="1:6" ht="22.5" customHeight="1">
      <c r="B2" s="5586" t="s">
        <v>1935</v>
      </c>
      <c r="C2" s="5586"/>
      <c r="D2" s="5586"/>
      <c r="E2" s="205"/>
      <c r="F2" s="29">
        <v>22</v>
      </c>
    </row>
    <row r="3" spans="1:6" ht="3" customHeight="1">
      <c r="F3" s="29">
        <v>3</v>
      </c>
    </row>
    <row r="4" spans="1:6" ht="23.25" customHeight="1">
      <c r="B4" s="2024" t="s">
        <v>1936</v>
      </c>
      <c r="C4" s="319" t="s">
        <v>1937</v>
      </c>
      <c r="D4" s="319" t="s">
        <v>1938</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1939</v>
      </c>
    </row>
    <row r="4" spans="1:80" s="201" customFormat="1" ht="15" customHeight="1">
      <c r="C4" s="1741"/>
      <c r="D4" s="53"/>
      <c r="E4" s="313"/>
    </row>
    <row r="6" spans="1:80" s="1740" customFormat="1" ht="17.25" customHeight="1">
      <c r="A6" s="1740" t="s">
        <v>1940</v>
      </c>
    </row>
    <row r="8" spans="1:80" s="201" customFormat="1" ht="17.25" customHeight="1">
      <c r="C8" s="1742"/>
      <c r="D8" s="53"/>
      <c r="E8" s="54"/>
    </row>
    <row r="11" spans="1:80" s="1740" customFormat="1" ht="17.25" customHeight="1">
      <c r="A11" s="1740" t="s">
        <v>1941</v>
      </c>
    </row>
    <row r="13" spans="1:80" s="1744" customFormat="1" ht="15" customHeight="1">
      <c r="A13" s="5356">
        <v>1</v>
      </c>
      <c r="B13" s="1086"/>
      <c r="C13" s="731" t="s">
        <v>166</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5356"/>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5356"/>
      <c r="B15" s="1086"/>
      <c r="C15" s="348"/>
      <c r="D15" s="731"/>
      <c r="E15" s="357"/>
      <c r="F15" s="115"/>
      <c r="G15" s="351" t="s">
        <v>104</v>
      </c>
      <c r="H15" s="125"/>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1942</v>
      </c>
    </row>
    <row r="19" spans="1:80" s="1774" customFormat="1" ht="15" customHeight="1">
      <c r="A19" s="1806"/>
      <c r="B19" s="1292">
        <v>1</v>
      </c>
      <c r="C19" s="1292"/>
      <c r="D19" s="730" t="s">
        <v>166</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1943</v>
      </c>
      <c r="B21" s="1740"/>
      <c r="C21" s="1740"/>
      <c r="D21" s="1740"/>
      <c r="E21" s="1740"/>
      <c r="F21" s="1740"/>
      <c r="G21" s="1740"/>
      <c r="H21" s="1740"/>
      <c r="I21" s="1740"/>
      <c r="J21" s="1740"/>
      <c r="K21" s="1740"/>
      <c r="L21" s="1740"/>
      <c r="M21" s="1740"/>
      <c r="N21" s="1740"/>
      <c r="O21" s="1740"/>
      <c r="P21" s="1740"/>
      <c r="Q21" s="1740"/>
      <c r="R21" s="1740"/>
      <c r="S21" s="1740"/>
      <c r="T21" s="1740"/>
      <c r="U21" s="122"/>
      <c r="V21" s="1740"/>
      <c r="W21" s="1740"/>
    </row>
    <row r="22" spans="1:80" s="1774" customFormat="1" ht="15" customHeight="1">
      <c r="U22" s="123"/>
    </row>
    <row r="23" spans="1:80" s="1777" customFormat="1" ht="15" customHeight="1">
      <c r="A23" s="359"/>
      <c r="B23" s="359"/>
      <c r="C23" s="1653" t="s">
        <v>166</v>
      </c>
      <c r="D23" s="5246" t="s">
        <v>111</v>
      </c>
      <c r="E23" s="5247"/>
      <c r="F23" s="5245" t="s">
        <v>19</v>
      </c>
      <c r="G23" s="5621"/>
      <c r="H23" s="5235">
        <v>1</v>
      </c>
      <c r="I23" s="5623" t="str">
        <f>IF(U23="","",INDEX(TERRITORY_MR_LIST,MATCH(U23,TERRITORY_LIST_ID,0)))</f>
        <v/>
      </c>
      <c r="J23" s="5245" t="s">
        <v>19</v>
      </c>
      <c r="K23" s="762"/>
      <c r="L23" s="1707"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7" customFormat="1" ht="15" customHeight="1">
      <c r="A24" s="359"/>
      <c r="B24" s="359"/>
      <c r="C24" s="114"/>
      <c r="D24" s="5246"/>
      <c r="E24" s="5248"/>
      <c r="F24" s="5245"/>
      <c r="G24" s="5622"/>
      <c r="H24" s="5235"/>
      <c r="I24" s="5624"/>
      <c r="J24" s="5245"/>
      <c r="K24" s="357"/>
      <c r="L24" s="115"/>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4"/>
      <c r="D25" s="5246"/>
      <c r="E25" s="5249"/>
      <c r="F25" s="5245"/>
      <c r="G25" s="357"/>
      <c r="H25" s="115"/>
      <c r="I25" s="516" t="s">
        <v>122</v>
      </c>
      <c r="J25" s="115"/>
      <c r="K25" s="115"/>
      <c r="L25" s="115"/>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3"/>
    </row>
    <row r="27" spans="1:80" s="1774" customFormat="1" ht="15" customHeight="1">
      <c r="A27" s="1740" t="s">
        <v>1944</v>
      </c>
      <c r="B27" s="1740"/>
      <c r="C27" s="1740"/>
      <c r="D27" s="1740"/>
      <c r="E27" s="1740"/>
      <c r="F27" s="1740"/>
      <c r="G27" s="1740"/>
      <c r="H27" s="1740"/>
      <c r="I27" s="1740"/>
      <c r="J27" s="1740"/>
      <c r="K27" s="1740"/>
      <c r="L27" s="1740"/>
      <c r="M27" s="1740"/>
      <c r="N27" s="1740"/>
      <c r="O27" s="1740"/>
      <c r="P27" s="1740"/>
      <c r="Q27" s="1740"/>
      <c r="R27" s="1740"/>
      <c r="S27" s="1740"/>
      <c r="T27" s="1740"/>
      <c r="U27" s="122"/>
      <c r="V27" s="1740"/>
      <c r="W27" s="1740"/>
    </row>
    <row r="28" spans="1:80" s="1774" customFormat="1" ht="15" customHeight="1">
      <c r="U28" s="123"/>
    </row>
    <row r="29" spans="1:80" s="1777" customFormat="1" ht="15" customHeight="1">
      <c r="A29" s="359"/>
      <c r="B29" s="359"/>
      <c r="C29" s="114"/>
      <c r="D29" s="1745"/>
      <c r="E29" s="1745"/>
      <c r="F29" s="1745"/>
      <c r="G29" s="5625" t="s">
        <v>166</v>
      </c>
      <c r="H29" s="5216">
        <v>1</v>
      </c>
      <c r="I29" s="5626" t="str">
        <f>IF(U29="","",INDEX(TERRITORY_MR_LIST,MATCH(U29,TERRITORY_LIST_ID,0)))</f>
        <v/>
      </c>
      <c r="J29" s="5245" t="s">
        <v>19</v>
      </c>
      <c r="K29" s="762"/>
      <c r="L29" s="1707"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7" customFormat="1" ht="15" customHeight="1">
      <c r="A30" s="359"/>
      <c r="B30" s="359"/>
      <c r="C30" s="114"/>
      <c r="D30" s="1745"/>
      <c r="E30" s="1745"/>
      <c r="F30" s="1745"/>
      <c r="G30" s="5625"/>
      <c r="H30" s="5216"/>
      <c r="I30" s="5626"/>
      <c r="J30" s="5245"/>
      <c r="K30" s="357"/>
      <c r="L30" s="115"/>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3"/>
    </row>
    <row r="32" spans="1:80" s="1774" customFormat="1" ht="15" customHeight="1">
      <c r="A32" s="1740" t="s">
        <v>1945</v>
      </c>
      <c r="B32" s="1740"/>
      <c r="C32" s="1740"/>
      <c r="D32" s="1740"/>
      <c r="E32" s="1740"/>
      <c r="F32" s="1740"/>
      <c r="G32" s="1740"/>
      <c r="H32" s="1740"/>
      <c r="I32" s="1740"/>
      <c r="J32" s="1740"/>
      <c r="K32" s="1740"/>
      <c r="L32" s="1740"/>
      <c r="M32" s="1740"/>
      <c r="N32" s="1740"/>
      <c r="O32" s="1740"/>
      <c r="P32" s="1740"/>
      <c r="Q32" s="1740"/>
      <c r="R32" s="1740"/>
      <c r="S32" s="1740"/>
      <c r="T32" s="1740"/>
      <c r="U32" s="122"/>
      <c r="V32" s="1740"/>
      <c r="W32" s="1740"/>
    </row>
    <row r="33" spans="1:38" s="1774" customFormat="1" ht="15" customHeight="1">
      <c r="U33" s="123"/>
    </row>
    <row r="34" spans="1:38" s="1777" customFormat="1" ht="15" customHeight="1">
      <c r="A34" s="359"/>
      <c r="B34" s="359"/>
      <c r="C34" s="114"/>
      <c r="D34" s="1745"/>
      <c r="E34" s="1745"/>
      <c r="F34" s="1745"/>
      <c r="G34" s="1745"/>
      <c r="H34" s="1745"/>
      <c r="I34" s="1745"/>
      <c r="J34" s="1745"/>
      <c r="K34" s="1724" t="s">
        <v>166</v>
      </c>
      <c r="L34" s="1654"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4" customFormat="1" ht="15" customHeight="1">
      <c r="U35" s="123"/>
    </row>
    <row r="36" spans="1:38" s="1774" customFormat="1" ht="15" customHeight="1">
      <c r="U36" s="123"/>
    </row>
    <row r="37" spans="1:38" s="1740" customFormat="1" ht="11.25" customHeight="1">
      <c r="A37" s="1740" t="s">
        <v>1946</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1947</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1948</v>
      </c>
    </row>
    <row r="46" spans="1:38" ht="11.25" customHeight="1"/>
    <row r="47" spans="1:38" s="391" customFormat="1" ht="24" customHeight="1">
      <c r="A47" s="5332" t="s">
        <v>340</v>
      </c>
      <c r="B47" s="438"/>
      <c r="C47" s="5343"/>
      <c r="D47" s="381" t="str">
        <f>A47</f>
        <v>5.1</v>
      </c>
      <c r="E47" s="378" t="s">
        <v>341</v>
      </c>
      <c r="F47" s="1897" t="s">
        <v>333</v>
      </c>
      <c r="G47" s="380" t="s">
        <v>342</v>
      </c>
      <c r="H47" s="411"/>
      <c r="I47" s="782"/>
    </row>
    <row r="48" spans="1:38" s="391" customFormat="1" ht="22.5" customHeight="1">
      <c r="A48" s="5332"/>
      <c r="B48" s="438"/>
      <c r="C48" s="5343"/>
      <c r="D48" s="376" t="str">
        <f>D47&amp;".1"</f>
        <v>5.1.1</v>
      </c>
      <c r="E48" s="375" t="s">
        <v>343</v>
      </c>
      <c r="F48" s="1898" t="s">
        <v>28</v>
      </c>
      <c r="G48" s="410"/>
      <c r="H48" s="411"/>
      <c r="I48" s="782"/>
    </row>
    <row r="49" spans="1:45" s="391" customFormat="1" ht="22.5" customHeight="1">
      <c r="A49" s="5332"/>
      <c r="B49" s="438"/>
      <c r="C49" s="5343"/>
      <c r="D49" s="376" t="str">
        <f>D47&amp;".2"</f>
        <v>5.1.2</v>
      </c>
      <c r="E49" s="375" t="s">
        <v>344</v>
      </c>
      <c r="F49" s="1657" t="s">
        <v>28</v>
      </c>
      <c r="G49" s="380" t="s">
        <v>345</v>
      </c>
      <c r="H49" s="411"/>
      <c r="I49" s="782"/>
    </row>
    <row r="50" spans="1:45" s="391" customFormat="1" ht="22.5" customHeight="1">
      <c r="A50" s="5332"/>
      <c r="B50" s="438"/>
      <c r="C50" s="5343"/>
      <c r="D50" s="376" t="str">
        <f>D47&amp;".3"</f>
        <v>5.1.3</v>
      </c>
      <c r="E50" s="375" t="s">
        <v>346</v>
      </c>
      <c r="F50" s="1898" t="s">
        <v>28</v>
      </c>
      <c r="G50" s="410"/>
      <c r="H50" s="411"/>
      <c r="I50" s="782"/>
    </row>
    <row r="51" spans="1:45" s="391" customFormat="1" ht="22.5" customHeight="1">
      <c r="A51" s="5332"/>
      <c r="B51" s="438"/>
      <c r="C51" s="5343"/>
      <c r="D51" s="376" t="str">
        <f>D47&amp;".4"</f>
        <v>5.1.4</v>
      </c>
      <c r="E51" s="375" t="s">
        <v>347</v>
      </c>
      <c r="F51" s="1898" t="s">
        <v>28</v>
      </c>
      <c r="G51" s="380" t="s">
        <v>348</v>
      </c>
      <c r="H51" s="411"/>
      <c r="I51" s="782"/>
    </row>
    <row r="54" spans="1:45" s="1740" customFormat="1" ht="17.25" customHeight="1">
      <c r="A54" s="1740" t="s">
        <v>1949</v>
      </c>
    </row>
    <row r="56" spans="1:45" s="1538" customFormat="1" ht="18.75" customHeight="1">
      <c r="A56" s="29"/>
      <c r="B56" s="1747"/>
      <c r="C56" s="1747"/>
      <c r="D56" s="1748"/>
      <c r="E56" s="1734"/>
      <c r="F56" s="798">
        <v>13</v>
      </c>
      <c r="G56" s="797"/>
      <c r="H56" s="723"/>
      <c r="I56" s="721"/>
      <c r="J56" s="456" t="s">
        <v>65</v>
      </c>
      <c r="K56" s="1749" t="s">
        <v>28</v>
      </c>
      <c r="L56" s="29"/>
      <c r="M56" s="1562"/>
      <c r="N56" s="1562"/>
      <c r="O56" s="1562"/>
      <c r="P56" s="452" t="s">
        <v>419</v>
      </c>
      <c r="Q56" s="452" t="s">
        <v>420</v>
      </c>
      <c r="R56" s="453" t="s">
        <v>421</v>
      </c>
      <c r="S56" s="1562" t="s">
        <v>422</v>
      </c>
      <c r="T56" s="1562"/>
      <c r="U56" s="1562"/>
      <c r="V56" s="1562"/>
    </row>
    <row r="58" spans="1:45" s="1740" customFormat="1" ht="11.25" customHeight="1">
      <c r="A58" s="1740" t="s">
        <v>1950</v>
      </c>
    </row>
    <row r="60" spans="1:45" s="1561" customFormat="1" ht="14.25" customHeight="1">
      <c r="C60" s="1614"/>
      <c r="D60" s="1793"/>
      <c r="E60" s="1702" t="s">
        <v>28</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9"/>
      <c r="AF60" s="29"/>
      <c r="AG60" s="29"/>
      <c r="AH60" s="29"/>
      <c r="AJ60" s="1562"/>
      <c r="AK60" s="1562"/>
      <c r="AL60" s="1562"/>
      <c r="AM60" s="1562"/>
      <c r="AN60" s="1562"/>
      <c r="AO60" s="1562"/>
      <c r="AP60" s="1550" t="s">
        <v>408</v>
      </c>
      <c r="AQ60" s="1550" t="s">
        <v>408</v>
      </c>
      <c r="AR60" s="1562"/>
      <c r="AS60" s="1562"/>
    </row>
    <row r="62" spans="1:45" s="1740" customFormat="1" ht="11.25" customHeight="1">
      <c r="A62" s="1740" t="s">
        <v>1951</v>
      </c>
    </row>
    <row r="64" spans="1:45" s="1747" customFormat="1" ht="15" customHeight="1">
      <c r="A64" s="83" t="s">
        <v>92</v>
      </c>
      <c r="B64" s="65" t="s">
        <v>28</v>
      </c>
      <c r="C64" s="1750"/>
      <c r="D64" s="68"/>
      <c r="E64" s="317"/>
      <c r="F64" s="317"/>
      <c r="G64" s="1728"/>
      <c r="H64" s="1749"/>
      <c r="I64" s="1729"/>
      <c r="K64" s="209"/>
      <c r="L64" s="210"/>
    </row>
    <row r="66" spans="1:30" s="1740" customFormat="1" ht="11.25" customHeight="1">
      <c r="A66" s="1740" t="s">
        <v>1952</v>
      </c>
    </row>
    <row r="68" spans="1:30" s="1561" customFormat="1" ht="14.25" customHeight="1">
      <c r="A68" s="280"/>
      <c r="B68" s="1086"/>
      <c r="C68" s="312"/>
      <c r="D68" s="1735"/>
      <c r="E68" s="815"/>
      <c r="F68" s="1749"/>
      <c r="G68" s="29"/>
      <c r="I68" s="1550"/>
      <c r="J68" s="1550"/>
    </row>
    <row r="70" spans="1:30" s="1740" customFormat="1" ht="11.25" customHeight="1">
      <c r="A70" s="1740" t="s">
        <v>1953</v>
      </c>
    </row>
    <row r="72" spans="1:30" s="1561" customFormat="1" ht="27" customHeight="1">
      <c r="A72" s="1092"/>
      <c r="B72" s="1092"/>
      <c r="C72" s="1092"/>
      <c r="D72" s="1086"/>
      <c r="E72" s="1751"/>
      <c r="F72" s="5587"/>
      <c r="G72" s="5588"/>
      <c r="H72" s="5589" t="s">
        <v>65</v>
      </c>
      <c r="I72" s="5591"/>
      <c r="J72" s="5593"/>
      <c r="K72" s="5595"/>
      <c r="L72" s="5606"/>
      <c r="M72" s="5606"/>
      <c r="N72" s="5629"/>
      <c r="O72" s="5629"/>
      <c r="P72" s="5630" t="e">
        <f>DATEDIF(DATEVALUE(N72),DATEVALUE(O72),"y")&amp;"г. "&amp;DATEDIF(DATEVALUE(N72),DATEVALUE(O72),"ym")&amp;"мес. "&amp;DATEVALUE(O72)-DATE(YEAR(DATEVALUE(O72)),MONTH(DATEVALUE(O72)),1)&amp;"дн. "</f>
        <v>#VALUE!</v>
      </c>
      <c r="Q72" s="5607"/>
      <c r="R72" s="5607"/>
      <c r="S72" s="5607"/>
      <c r="T72" s="5593"/>
      <c r="U72" s="5607"/>
      <c r="V72" s="5607"/>
      <c r="W72" s="5607"/>
      <c r="X72" s="5593"/>
      <c r="Y72" s="5627" t="s">
        <v>65</v>
      </c>
      <c r="Z72" s="1733"/>
      <c r="AA72" s="1717">
        <v>1</v>
      </c>
      <c r="AB72" s="1168"/>
      <c r="AD72" s="1562" t="s">
        <v>1954</v>
      </c>
    </row>
    <row r="73" spans="1:30" s="1561" customFormat="1" ht="10.5" customHeight="1">
      <c r="A73" s="1092"/>
      <c r="B73" s="1092"/>
      <c r="C73" s="1092"/>
      <c r="D73" s="1086"/>
      <c r="E73" s="876"/>
      <c r="F73" s="5587"/>
      <c r="G73" s="5588"/>
      <c r="H73" s="5590"/>
      <c r="I73" s="5592"/>
      <c r="J73" s="5594"/>
      <c r="K73" s="5595"/>
      <c r="L73" s="5606"/>
      <c r="M73" s="5606"/>
      <c r="N73" s="5629"/>
      <c r="O73" s="5629"/>
      <c r="P73" s="5630"/>
      <c r="Q73" s="5607"/>
      <c r="R73" s="5607"/>
      <c r="S73" s="5607"/>
      <c r="T73" s="5594"/>
      <c r="U73" s="5607"/>
      <c r="V73" s="5607"/>
      <c r="W73" s="5607"/>
      <c r="X73" s="5594"/>
      <c r="Y73" s="5628"/>
      <c r="Z73" s="284"/>
      <c r="AA73" s="508"/>
      <c r="AB73" s="588" t="s">
        <v>1955</v>
      </c>
    </row>
    <row r="75" spans="1:30" s="1740" customFormat="1" ht="11.25" customHeight="1">
      <c r="A75" s="1740" t="s">
        <v>1956</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1954</v>
      </c>
    </row>
    <row r="79" spans="1:30" s="1740" customFormat="1" ht="11.25" customHeight="1">
      <c r="A79" s="1740" t="s">
        <v>1957</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5633"/>
      <c r="G82" s="5544"/>
      <c r="H82" s="5636" t="s">
        <v>403</v>
      </c>
      <c r="I82" s="5637"/>
      <c r="J82" s="5599"/>
      <c r="K82" s="5599"/>
      <c r="L82" s="5631"/>
      <c r="M82" s="5377"/>
      <c r="N82" s="1957"/>
      <c r="O82" s="1956"/>
      <c r="P82" s="1957"/>
      <c r="Q82" s="1957"/>
      <c r="R82" s="1957"/>
      <c r="S82" s="1957"/>
      <c r="T82" s="1957"/>
      <c r="U82" s="1957"/>
      <c r="V82" s="1957"/>
      <c r="W82" s="1957"/>
      <c r="X82" s="1957"/>
      <c r="Y82" s="1957"/>
      <c r="Z82" s="1957"/>
      <c r="AA82" s="1957"/>
      <c r="AB82" s="1957"/>
      <c r="AC82" s="1957"/>
      <c r="AD82" s="1957"/>
      <c r="AE82" s="1957"/>
      <c r="AF82" s="5635"/>
      <c r="AG82" s="5631"/>
      <c r="AH82" s="5631"/>
      <c r="AI82" s="5635"/>
      <c r="AJ82" s="5631"/>
      <c r="AK82" s="5631"/>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5633"/>
      <c r="G83" s="5544"/>
      <c r="H83" s="5636"/>
      <c r="I83" s="5637"/>
      <c r="J83" s="5599"/>
      <c r="K83" s="5599"/>
      <c r="L83" s="5631"/>
      <c r="M83" s="5377"/>
      <c r="N83" s="5638"/>
      <c r="O83" s="5639"/>
      <c r="P83" s="5596"/>
      <c r="Q83" s="5599"/>
      <c r="R83" s="5599"/>
      <c r="S83" s="5599"/>
      <c r="T83" s="5599"/>
      <c r="U83" s="5599"/>
      <c r="V83" s="5599"/>
      <c r="W83" s="5599"/>
      <c r="X83" s="5599"/>
      <c r="Y83" s="5599"/>
      <c r="Z83" s="1958"/>
      <c r="AA83" s="1959"/>
      <c r="AB83" s="1959"/>
      <c r="AC83" s="1960"/>
      <c r="AD83" s="1960"/>
      <c r="AE83" s="1961"/>
      <c r="AF83" s="5635"/>
      <c r="AG83" s="5631"/>
      <c r="AH83" s="5631"/>
      <c r="AI83" s="5635"/>
      <c r="AJ83" s="5631"/>
      <c r="AK83" s="5631"/>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5633"/>
      <c r="G84" s="5544"/>
      <c r="H84" s="5636"/>
      <c r="I84" s="5637"/>
      <c r="J84" s="5599"/>
      <c r="K84" s="5599"/>
      <c r="L84" s="5631"/>
      <c r="M84" s="5377"/>
      <c r="N84" s="5638"/>
      <c r="O84" s="5639"/>
      <c r="P84" s="5597"/>
      <c r="Q84" s="5599"/>
      <c r="R84" s="5599"/>
      <c r="S84" s="5599"/>
      <c r="T84" s="5599"/>
      <c r="U84" s="5599"/>
      <c r="V84" s="5599"/>
      <c r="W84" s="5599"/>
      <c r="X84" s="5599"/>
      <c r="Y84" s="5599"/>
      <c r="Z84" s="1962"/>
      <c r="AA84" s="1963"/>
      <c r="AB84" s="1964"/>
      <c r="AC84" s="1965"/>
      <c r="AD84" s="1964"/>
      <c r="AE84" s="1965"/>
      <c r="AF84" s="5635"/>
      <c r="AG84" s="5631"/>
      <c r="AH84" s="5631"/>
      <c r="AI84" s="5635"/>
      <c r="AJ84" s="5631"/>
      <c r="AK84" s="5631"/>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5633"/>
      <c r="G85" s="5544"/>
      <c r="H85" s="5636"/>
      <c r="I85" s="5637"/>
      <c r="J85" s="5599"/>
      <c r="K85" s="5599"/>
      <c r="L85" s="5631"/>
      <c r="M85" s="5377"/>
      <c r="N85" s="5638"/>
      <c r="O85" s="5639"/>
      <c r="P85" s="5598"/>
      <c r="Q85" s="5599"/>
      <c r="R85" s="5599"/>
      <c r="S85" s="5599"/>
      <c r="T85" s="5599"/>
      <c r="U85" s="5599"/>
      <c r="V85" s="5599"/>
      <c r="W85" s="5599"/>
      <c r="X85" s="5599"/>
      <c r="Y85" s="5599"/>
      <c r="Z85" s="1958"/>
      <c r="AA85" s="1959"/>
      <c r="AB85" s="1966"/>
      <c r="AC85" s="1960"/>
      <c r="AD85" s="1960"/>
      <c r="AE85" s="1967"/>
      <c r="AF85" s="5635"/>
      <c r="AG85" s="5631"/>
      <c r="AH85" s="5631"/>
      <c r="AI85" s="5635"/>
      <c r="AJ85" s="5631"/>
      <c r="AK85" s="5631"/>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5633"/>
      <c r="G86" s="5544"/>
      <c r="H86" s="5636"/>
      <c r="I86" s="5637"/>
      <c r="J86" s="5599"/>
      <c r="K86" s="5599"/>
      <c r="L86" s="5631"/>
      <c r="M86" s="5377"/>
      <c r="N86" s="1959"/>
      <c r="O86" s="1959"/>
      <c r="P86" s="1966"/>
      <c r="Q86" s="1959"/>
      <c r="R86" s="1959"/>
      <c r="S86" s="1959"/>
      <c r="T86" s="1959"/>
      <c r="U86" s="1959"/>
      <c r="V86" s="1959"/>
      <c r="W86" s="1959"/>
      <c r="X86" s="1959"/>
      <c r="Y86" s="1959"/>
      <c r="Z86" s="1959"/>
      <c r="AA86" s="1959"/>
      <c r="AB86" s="1959"/>
      <c r="AC86" s="1959"/>
      <c r="AD86" s="1959"/>
      <c r="AE86" s="1968"/>
      <c r="AF86" s="5635"/>
      <c r="AG86" s="5631"/>
      <c r="AH86" s="5631"/>
      <c r="AI86" s="5635"/>
      <c r="AJ86" s="5631"/>
      <c r="AK86" s="5631"/>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5634"/>
      <c r="G87" s="1116"/>
      <c r="H87" s="1116"/>
      <c r="I87" s="5632" t="s">
        <v>1958</v>
      </c>
      <c r="J87" s="5632"/>
      <c r="K87" s="5632"/>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1959</v>
      </c>
    </row>
    <row r="91" spans="1:58" s="1561" customFormat="1" ht="11.25" customHeight="1">
      <c r="A91" s="1092"/>
      <c r="B91" s="1092"/>
      <c r="C91" s="1092"/>
      <c r="D91" s="1086"/>
      <c r="E91" s="1096"/>
      <c r="F91" s="1753"/>
      <c r="G91" s="1754"/>
      <c r="H91" s="1754"/>
      <c r="I91" s="1689"/>
      <c r="J91" s="1689"/>
      <c r="K91" s="1755"/>
      <c r="L91" s="1689"/>
      <c r="M91" s="1754"/>
      <c r="N91" s="5600"/>
      <c r="O91" s="5601">
        <v>1</v>
      </c>
      <c r="P91" s="5602" t="s">
        <v>19</v>
      </c>
      <c r="Q91" s="5508" t="s">
        <v>28</v>
      </c>
      <c r="R91" s="5508" t="s">
        <v>28</v>
      </c>
      <c r="S91" s="5508" t="s">
        <v>28</v>
      </c>
      <c r="T91" s="5508" t="s">
        <v>28</v>
      </c>
      <c r="U91" s="5508" t="s">
        <v>28</v>
      </c>
      <c r="V91" s="5508" t="s">
        <v>28</v>
      </c>
      <c r="W91" s="5508" t="s">
        <v>28</v>
      </c>
      <c r="X91" s="5508" t="s">
        <v>28</v>
      </c>
      <c r="Y91" s="5508"/>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5600"/>
      <c r="O92" s="5601"/>
      <c r="P92" s="5603"/>
      <c r="Q92" s="5508"/>
      <c r="R92" s="5508"/>
      <c r="S92" s="5605"/>
      <c r="T92" s="5508"/>
      <c r="U92" s="5508"/>
      <c r="V92" s="5508"/>
      <c r="W92" s="5508"/>
      <c r="X92" s="5508"/>
      <c r="Y92" s="5508"/>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5600"/>
      <c r="O93" s="5601"/>
      <c r="P93" s="5604"/>
      <c r="Q93" s="5508"/>
      <c r="R93" s="5508"/>
      <c r="S93" s="5605"/>
      <c r="T93" s="5508"/>
      <c r="U93" s="5508"/>
      <c r="V93" s="5508"/>
      <c r="W93" s="5508"/>
      <c r="X93" s="5508"/>
      <c r="Y93" s="5508"/>
      <c r="Z93" s="1101"/>
      <c r="AA93" s="1102"/>
      <c r="AB93" s="1167" t="s">
        <v>1960</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1961</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1962</v>
      </c>
    </row>
    <row r="101" spans="1:184" s="1561" customFormat="1" ht="11.25" customHeight="1">
      <c r="A101" s="1092"/>
      <c r="B101" s="1092"/>
      <c r="C101" s="1092"/>
      <c r="D101" s="1086"/>
      <c r="E101" s="1096"/>
      <c r="F101" s="1753"/>
      <c r="G101" s="1754"/>
      <c r="H101" s="5544" t="s">
        <v>111</v>
      </c>
      <c r="I101" s="5652"/>
      <c r="J101" s="5580"/>
      <c r="K101" s="5650"/>
      <c r="L101" s="5245" t="s">
        <v>19</v>
      </c>
      <c r="M101" s="5246"/>
      <c r="N101" s="1907"/>
      <c r="O101" s="1103" t="s">
        <v>403</v>
      </c>
      <c r="P101" s="1104"/>
      <c r="Q101" s="1104"/>
      <c r="R101" s="1104"/>
      <c r="S101" s="1104"/>
      <c r="T101" s="1104"/>
      <c r="U101" s="1104"/>
      <c r="V101" s="1104"/>
      <c r="W101" s="1104"/>
      <c r="X101" s="1104"/>
      <c r="Y101" s="1104"/>
      <c r="Z101" s="1104"/>
      <c r="AA101" s="1104"/>
      <c r="AB101" s="1104"/>
      <c r="AC101" s="1104"/>
      <c r="AD101" s="1104"/>
      <c r="AE101" s="1104"/>
      <c r="AF101" s="5653"/>
      <c r="AG101" s="5654"/>
      <c r="AH101" s="5654"/>
      <c r="AI101" s="5653"/>
      <c r="AJ101" s="5654"/>
      <c r="AK101" s="5654"/>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5544"/>
      <c r="I102" s="5652"/>
      <c r="J102" s="5580"/>
      <c r="K102" s="5650"/>
      <c r="L102" s="5245"/>
      <c r="M102" s="5246"/>
      <c r="N102" s="5600"/>
      <c r="O102" s="5655">
        <v>1</v>
      </c>
      <c r="P102" s="5602" t="s">
        <v>19</v>
      </c>
      <c r="Q102" s="5508" t="s">
        <v>28</v>
      </c>
      <c r="R102" s="5508" t="s">
        <v>28</v>
      </c>
      <c r="S102" s="5508" t="s">
        <v>28</v>
      </c>
      <c r="T102" s="5508" t="s">
        <v>28</v>
      </c>
      <c r="U102" s="5508" t="s">
        <v>28</v>
      </c>
      <c r="V102" s="5508" t="s">
        <v>28</v>
      </c>
      <c r="W102" s="5508" t="s">
        <v>28</v>
      </c>
      <c r="X102" s="5508" t="s">
        <v>28</v>
      </c>
      <c r="Y102" s="5508"/>
      <c r="Z102" s="1101"/>
      <c r="AA102" s="1102"/>
      <c r="AB102" s="1102"/>
      <c r="AC102" s="1106"/>
      <c r="AD102" s="1106"/>
      <c r="AE102" s="1107"/>
      <c r="AF102" s="5653"/>
      <c r="AG102" s="5654"/>
      <c r="AH102" s="5654"/>
      <c r="AI102" s="5653"/>
      <c r="AJ102" s="5654"/>
      <c r="AK102" s="5654"/>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5544"/>
      <c r="I103" s="5652"/>
      <c r="J103" s="5580"/>
      <c r="K103" s="5650"/>
      <c r="L103" s="5245"/>
      <c r="M103" s="5246"/>
      <c r="N103" s="5600"/>
      <c r="O103" s="5655"/>
      <c r="P103" s="5603"/>
      <c r="Q103" s="5508"/>
      <c r="R103" s="5508"/>
      <c r="S103" s="5605"/>
      <c r="T103" s="5508"/>
      <c r="U103" s="5508"/>
      <c r="V103" s="5508"/>
      <c r="W103" s="5508"/>
      <c r="X103" s="5508"/>
      <c r="Y103" s="5508"/>
      <c r="Z103" s="1752"/>
      <c r="AA103" s="1719">
        <v>1</v>
      </c>
      <c r="AB103" s="1105"/>
      <c r="AC103" s="1095"/>
      <c r="AD103" s="1105">
        <f>AB103</f>
        <v>0</v>
      </c>
      <c r="AE103" s="1095"/>
      <c r="AF103" s="5653"/>
      <c r="AG103" s="5654"/>
      <c r="AH103" s="5654"/>
      <c r="AI103" s="5653"/>
      <c r="AJ103" s="5654"/>
      <c r="AK103" s="5654"/>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5544"/>
      <c r="I104" s="5652"/>
      <c r="J104" s="5580"/>
      <c r="K104" s="5650"/>
      <c r="L104" s="5245"/>
      <c r="M104" s="5246"/>
      <c r="N104" s="5600"/>
      <c r="O104" s="5655"/>
      <c r="P104" s="5604"/>
      <c r="Q104" s="5508"/>
      <c r="R104" s="5508"/>
      <c r="S104" s="5605"/>
      <c r="T104" s="5508"/>
      <c r="U104" s="5508"/>
      <c r="V104" s="5508"/>
      <c r="W104" s="5508"/>
      <c r="X104" s="5508"/>
      <c r="Y104" s="5508"/>
      <c r="Z104" s="1101"/>
      <c r="AA104" s="1102"/>
      <c r="AB104" s="1167" t="s">
        <v>1960</v>
      </c>
      <c r="AC104" s="1106"/>
      <c r="AD104" s="1106"/>
      <c r="AE104" s="1108"/>
      <c r="AF104" s="5653"/>
      <c r="AG104" s="5654"/>
      <c r="AH104" s="5654"/>
      <c r="AI104" s="5653"/>
      <c r="AJ104" s="5654"/>
      <c r="AK104" s="5654"/>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5544"/>
      <c r="I105" s="5652"/>
      <c r="J105" s="5580"/>
      <c r="K105" s="5650"/>
      <c r="L105" s="5245"/>
      <c r="M105" s="5246"/>
      <c r="N105" s="1101"/>
      <c r="O105" s="1102"/>
      <c r="P105" s="1094" t="s">
        <v>1963</v>
      </c>
      <c r="Q105" s="1102"/>
      <c r="R105" s="1102"/>
      <c r="S105" s="1102"/>
      <c r="T105" s="1102"/>
      <c r="U105" s="1102"/>
      <c r="V105" s="1102"/>
      <c r="W105" s="1102"/>
      <c r="X105" s="1102"/>
      <c r="Y105" s="1102"/>
      <c r="Z105" s="1102"/>
      <c r="AA105" s="1102"/>
      <c r="AB105" s="1102"/>
      <c r="AC105" s="1102"/>
      <c r="AD105" s="1102"/>
      <c r="AE105" s="1109"/>
      <c r="AF105" s="5653"/>
      <c r="AG105" s="5654"/>
      <c r="AH105" s="5654"/>
      <c r="AI105" s="5653"/>
      <c r="AJ105" s="5654"/>
      <c r="AK105" s="5654"/>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1964</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1965</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1966</v>
      </c>
    </row>
    <row r="115" spans="1:83" s="1774" customFormat="1" ht="15" customHeight="1">
      <c r="A115" s="559"/>
      <c r="B115" s="560"/>
      <c r="C115" s="560"/>
      <c r="D115" s="5609" t="s">
        <v>111</v>
      </c>
      <c r="E115" s="5489" t="s">
        <v>107</v>
      </c>
      <c r="F115" s="5490"/>
      <c r="G115" s="5491"/>
      <c r="H115" s="5485" t="str">
        <f>IF(A115="","",INDEX(DIFFERENTIATION_UNMERGE_VD,MATCH(A115,DIFFERENTIATION_ID_DIFF,0)))</f>
        <v/>
      </c>
      <c r="I115" s="5485"/>
      <c r="J115" s="5485"/>
      <c r="K115" s="5485"/>
      <c r="L115" s="5485"/>
      <c r="M115" s="5485"/>
      <c r="N115" s="5485"/>
      <c r="O115" s="5485"/>
      <c r="P115" s="5485"/>
      <c r="Q115" s="5485"/>
      <c r="R115" s="5485"/>
      <c r="S115" s="655"/>
      <c r="T115" s="652"/>
      <c r="U115" s="561"/>
      <c r="V115" s="561"/>
      <c r="W115" s="562"/>
      <c r="X115" s="562"/>
      <c r="Y115" s="562"/>
      <c r="Z115" s="562"/>
      <c r="AA115" s="563"/>
      <c r="AB115" s="564"/>
      <c r="AC115" s="5488"/>
      <c r="AD115" s="565"/>
      <c r="AE115" s="566" t="s">
        <v>28</v>
      </c>
      <c r="AF115" s="566"/>
      <c r="AG115" s="567" t="s">
        <v>641</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5610"/>
      <c r="E116" s="5489" t="s">
        <v>596</v>
      </c>
      <c r="F116" s="5490"/>
      <c r="G116" s="5491"/>
      <c r="H116" s="5485" t="str">
        <f>IF(A115="","",INDEX(DIFFERENTIATION_UNMERGE_AREA,MATCH(A115,DIFFERENTIATION_ID_DIFF,0)))</f>
        <v/>
      </c>
      <c r="I116" s="5485"/>
      <c r="J116" s="5485"/>
      <c r="K116" s="5485"/>
      <c r="L116" s="5485"/>
      <c r="M116" s="5485"/>
      <c r="N116" s="5485"/>
      <c r="O116" s="5485"/>
      <c r="P116" s="5485"/>
      <c r="Q116" s="5485"/>
      <c r="R116" s="5485"/>
      <c r="S116" s="655"/>
      <c r="T116" s="652"/>
      <c r="U116" s="561"/>
      <c r="V116" s="561"/>
      <c r="W116" s="562"/>
      <c r="X116" s="562"/>
      <c r="Y116" s="562"/>
      <c r="Z116" s="562"/>
      <c r="AA116" s="563"/>
      <c r="AB116" s="564"/>
      <c r="AC116" s="5488"/>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5610"/>
      <c r="E117" s="5489" t="s">
        <v>597</v>
      </c>
      <c r="F117" s="5490"/>
      <c r="G117" s="5491"/>
      <c r="H117" s="5485" t="str">
        <f>IF(A115="","",INDEX(DIFFERENTIATION_UNMERGE_SYSTEM,MATCH(A115,DIFFERENTIATION_ID_DIFF,0)))</f>
        <v/>
      </c>
      <c r="I117" s="5485"/>
      <c r="J117" s="5485"/>
      <c r="K117" s="5485"/>
      <c r="L117" s="5485"/>
      <c r="M117" s="5485"/>
      <c r="N117" s="5485"/>
      <c r="O117" s="5485"/>
      <c r="P117" s="5485"/>
      <c r="Q117" s="5485"/>
      <c r="R117" s="5485"/>
      <c r="S117" s="655"/>
      <c r="T117" s="652"/>
      <c r="U117" s="561"/>
      <c r="V117" s="561"/>
      <c r="W117" s="562"/>
      <c r="X117" s="562"/>
      <c r="Y117" s="562"/>
      <c r="Z117" s="562"/>
      <c r="AA117" s="563"/>
      <c r="AB117" s="564"/>
      <c r="AC117" s="5488"/>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5610"/>
      <c r="E118" s="5487" t="s">
        <v>642</v>
      </c>
      <c r="F118" s="5487"/>
      <c r="G118" s="5487"/>
      <c r="H118" s="5487"/>
      <c r="I118" s="5487"/>
      <c r="J118" s="5487"/>
      <c r="K118" s="5487"/>
      <c r="L118" s="5487"/>
      <c r="M118" s="5487"/>
      <c r="N118" s="5487"/>
      <c r="O118" s="5487"/>
      <c r="P118" s="5487"/>
      <c r="Q118" s="494">
        <f>SUMIF(T119:T120,"i",Q119:Q120)</f>
        <v>0</v>
      </c>
      <c r="R118" s="946"/>
      <c r="S118" s="1723" t="s">
        <v>643</v>
      </c>
      <c r="T118" s="653" t="s">
        <v>644</v>
      </c>
      <c r="U118" s="5385">
        <v>1</v>
      </c>
      <c r="V118" s="5385" t="s">
        <v>607</v>
      </c>
      <c r="W118" s="1086"/>
      <c r="X118" s="1086"/>
      <c r="Y118" s="1086"/>
      <c r="Z118" s="1086"/>
      <c r="AA118" s="1562"/>
      <c r="AB118" s="1086"/>
      <c r="AC118" s="5488"/>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5610"/>
      <c r="E119" s="571"/>
      <c r="F119" s="571">
        <v>0</v>
      </c>
      <c r="G119" s="571"/>
      <c r="H119" s="571"/>
      <c r="I119" s="571"/>
      <c r="J119" s="571"/>
      <c r="K119" s="571"/>
      <c r="L119" s="571"/>
      <c r="M119" s="571"/>
      <c r="N119" s="571"/>
      <c r="O119" s="571"/>
      <c r="P119" s="571"/>
      <c r="Q119" s="571"/>
      <c r="R119" s="571"/>
      <c r="S119" s="572"/>
      <c r="T119" s="654"/>
      <c r="U119" s="5385"/>
      <c r="V119" s="5385"/>
      <c r="W119" s="1562"/>
      <c r="X119" s="1562"/>
      <c r="Y119" s="1562"/>
      <c r="Z119" s="1562"/>
      <c r="AA119" s="1562"/>
      <c r="AB119" s="1086"/>
      <c r="AC119" s="5488"/>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5610"/>
      <c r="E120" s="585" t="s">
        <v>28</v>
      </c>
      <c r="F120" s="1094" t="s">
        <v>28</v>
      </c>
      <c r="G120" s="1094" t="s">
        <v>1967</v>
      </c>
      <c r="H120" s="587" t="s">
        <v>28</v>
      </c>
      <c r="I120" s="587"/>
      <c r="J120" s="587"/>
      <c r="K120" s="587"/>
      <c r="L120" s="587"/>
      <c r="M120" s="587"/>
      <c r="N120" s="587"/>
      <c r="O120" s="587"/>
      <c r="P120" s="587"/>
      <c r="Q120" s="587"/>
      <c r="R120" s="588"/>
      <c r="S120" s="589"/>
      <c r="T120" s="654"/>
      <c r="U120" s="5385"/>
      <c r="V120" s="5385"/>
      <c r="W120" s="1086"/>
      <c r="X120" s="1086"/>
      <c r="Y120" s="1086"/>
      <c r="Z120" s="1086"/>
      <c r="AA120" s="1562"/>
      <c r="AB120" s="1086"/>
      <c r="AC120" s="5488"/>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5610"/>
      <c r="E121" s="5487" t="s">
        <v>645</v>
      </c>
      <c r="F121" s="5487"/>
      <c r="G121" s="5487"/>
      <c r="H121" s="5487"/>
      <c r="I121" s="5487"/>
      <c r="J121" s="5487"/>
      <c r="K121" s="5487"/>
      <c r="L121" s="5487"/>
      <c r="M121" s="5487"/>
      <c r="N121" s="5487"/>
      <c r="O121" s="5487"/>
      <c r="P121" s="5487"/>
      <c r="Q121" s="494">
        <f>SUMIF(T122:T123,"i",Q122:Q123)</f>
        <v>0</v>
      </c>
      <c r="R121" s="946"/>
      <c r="S121" s="1723" t="s">
        <v>646</v>
      </c>
      <c r="T121" s="653" t="s">
        <v>644</v>
      </c>
      <c r="U121" s="5385">
        <v>1</v>
      </c>
      <c r="V121" s="5385" t="s">
        <v>607</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5610"/>
      <c r="E122" s="571"/>
      <c r="F122" s="571">
        <v>0</v>
      </c>
      <c r="G122" s="571"/>
      <c r="H122" s="571"/>
      <c r="I122" s="571"/>
      <c r="J122" s="571"/>
      <c r="K122" s="571"/>
      <c r="L122" s="571"/>
      <c r="M122" s="571"/>
      <c r="N122" s="571"/>
      <c r="O122" s="571"/>
      <c r="P122" s="571"/>
      <c r="Q122" s="571"/>
      <c r="R122" s="571"/>
      <c r="S122" s="572"/>
      <c r="T122" s="654"/>
      <c r="U122" s="5385"/>
      <c r="V122" s="5385"/>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5611"/>
      <c r="E123" s="585" t="s">
        <v>28</v>
      </c>
      <c r="F123" s="1094" t="s">
        <v>28</v>
      </c>
      <c r="G123" s="1094" t="s">
        <v>1967</v>
      </c>
      <c r="H123" s="587" t="s">
        <v>28</v>
      </c>
      <c r="I123" s="587"/>
      <c r="J123" s="587"/>
      <c r="K123" s="587"/>
      <c r="L123" s="587"/>
      <c r="M123" s="587"/>
      <c r="N123" s="587"/>
      <c r="O123" s="587"/>
      <c r="P123" s="587"/>
      <c r="Q123" s="587"/>
      <c r="R123" s="588"/>
      <c r="S123" s="589"/>
      <c r="T123" s="654"/>
      <c r="U123" s="5385"/>
      <c r="V123" s="5385"/>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1968</v>
      </c>
    </row>
    <row r="127" spans="1:83" s="1774" customFormat="1" ht="15" customHeight="1">
      <c r="A127" s="559"/>
      <c r="B127" s="560"/>
      <c r="C127" s="560"/>
      <c r="D127" s="5609" t="s">
        <v>111</v>
      </c>
      <c r="E127" s="5489" t="s">
        <v>107</v>
      </c>
      <c r="F127" s="5490"/>
      <c r="G127" s="5491"/>
      <c r="H127" s="5485" t="str">
        <f>IF(A127="","",INDEX(DIFFERENTIATION_UNMERGE_VD,MATCH(A127,DIFFERENTIATION_ID_DIFF,0)))</f>
        <v/>
      </c>
      <c r="I127" s="5485"/>
      <c r="J127" s="5485"/>
      <c r="K127" s="5485"/>
      <c r="L127" s="5485"/>
      <c r="M127" s="5485"/>
      <c r="N127" s="5485"/>
      <c r="O127" s="5485"/>
      <c r="P127" s="5485"/>
      <c r="Q127" s="5485"/>
      <c r="R127" s="5485"/>
      <c r="S127" s="655"/>
      <c r="T127" s="652"/>
      <c r="U127" s="561"/>
      <c r="V127" s="561"/>
      <c r="W127" s="562"/>
      <c r="X127" s="562"/>
      <c r="Y127" s="562"/>
      <c r="Z127" s="562"/>
      <c r="AA127" s="563"/>
      <c r="AB127" s="564"/>
      <c r="AC127" s="5488"/>
      <c r="AD127" s="565"/>
      <c r="AE127" s="566" t="s">
        <v>28</v>
      </c>
      <c r="AF127" s="566"/>
      <c r="AG127" s="567" t="s">
        <v>641</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customHeight="1">
      <c r="A128" s="559"/>
      <c r="B128" s="560"/>
      <c r="C128" s="560"/>
      <c r="D128" s="5610"/>
      <c r="E128" s="5489" t="s">
        <v>596</v>
      </c>
      <c r="F128" s="5490"/>
      <c r="G128" s="5491"/>
      <c r="H128" s="5485" t="str">
        <f>IF(A127="","",INDEX(DIFFERENTIATION_UNMERGE_AREA,MATCH(A127,DIFFERENTIATION_ID_DIFF,0)))</f>
        <v/>
      </c>
      <c r="I128" s="5485"/>
      <c r="J128" s="5485"/>
      <c r="K128" s="5485"/>
      <c r="L128" s="5485"/>
      <c r="M128" s="5485"/>
      <c r="N128" s="5485"/>
      <c r="O128" s="5485"/>
      <c r="P128" s="5485"/>
      <c r="Q128" s="5485"/>
      <c r="R128" s="5485"/>
      <c r="S128" s="655"/>
      <c r="T128" s="652"/>
      <c r="U128" s="561"/>
      <c r="V128" s="561"/>
      <c r="W128" s="562"/>
      <c r="X128" s="562"/>
      <c r="Y128" s="562"/>
      <c r="Z128" s="562"/>
      <c r="AA128" s="563"/>
      <c r="AB128" s="564"/>
      <c r="AC128" s="5488"/>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customHeight="1">
      <c r="A129" s="559"/>
      <c r="B129" s="560"/>
      <c r="C129" s="560"/>
      <c r="D129" s="5610"/>
      <c r="E129" s="5489" t="s">
        <v>597</v>
      </c>
      <c r="F129" s="5490"/>
      <c r="G129" s="5491"/>
      <c r="H129" s="5485" t="str">
        <f>IF(A127="","",INDEX(DIFFERENTIATION_UNMERGE_SYSTEM,MATCH(A127,DIFFERENTIATION_ID_DIFF,0)))</f>
        <v/>
      </c>
      <c r="I129" s="5485"/>
      <c r="J129" s="5485"/>
      <c r="K129" s="5485"/>
      <c r="L129" s="5485"/>
      <c r="M129" s="5485"/>
      <c r="N129" s="5485"/>
      <c r="O129" s="5485"/>
      <c r="P129" s="5485"/>
      <c r="Q129" s="5485"/>
      <c r="R129" s="5485"/>
      <c r="S129" s="655"/>
      <c r="T129" s="652"/>
      <c r="U129" s="561"/>
      <c r="V129" s="561"/>
      <c r="W129" s="562"/>
      <c r="X129" s="562"/>
      <c r="Y129" s="562"/>
      <c r="Z129" s="562"/>
      <c r="AA129" s="563"/>
      <c r="AB129" s="564"/>
      <c r="AC129" s="5488"/>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customHeight="1">
      <c r="A130" s="1731"/>
      <c r="B130" s="1086"/>
      <c r="C130" s="348"/>
      <c r="D130" s="5610"/>
      <c r="E130" s="5487" t="s">
        <v>642</v>
      </c>
      <c r="F130" s="5487"/>
      <c r="G130" s="5487"/>
      <c r="H130" s="5487"/>
      <c r="I130" s="5487"/>
      <c r="J130" s="5487"/>
      <c r="K130" s="5487"/>
      <c r="L130" s="5487"/>
      <c r="M130" s="5487"/>
      <c r="N130" s="5487"/>
      <c r="O130" s="5487"/>
      <c r="P130" s="5487"/>
      <c r="Q130" s="494">
        <f>SUMIF(T131:T132,"i",Q131:Q132)</f>
        <v>0</v>
      </c>
      <c r="R130" s="946"/>
      <c r="S130" s="1723" t="s">
        <v>643</v>
      </c>
      <c r="T130" s="653" t="s">
        <v>644</v>
      </c>
      <c r="U130" s="5385">
        <v>1</v>
      </c>
      <c r="V130" s="5385" t="s">
        <v>607</v>
      </c>
      <c r="W130" s="1086"/>
      <c r="X130" s="1086"/>
      <c r="Y130" s="1086"/>
      <c r="Z130" s="1086"/>
      <c r="AA130" s="1562"/>
      <c r="AB130" s="1086"/>
      <c r="AC130" s="5488"/>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5610"/>
      <c r="E131" s="571"/>
      <c r="F131" s="571">
        <v>0</v>
      </c>
      <c r="G131" s="571"/>
      <c r="H131" s="571"/>
      <c r="I131" s="571"/>
      <c r="J131" s="571"/>
      <c r="K131" s="571"/>
      <c r="L131" s="571"/>
      <c r="M131" s="571"/>
      <c r="N131" s="571"/>
      <c r="O131" s="571"/>
      <c r="P131" s="571"/>
      <c r="Q131" s="571"/>
      <c r="R131" s="571"/>
      <c r="S131" s="572"/>
      <c r="T131" s="654"/>
      <c r="U131" s="5385"/>
      <c r="V131" s="5385"/>
      <c r="W131" s="1562"/>
      <c r="X131" s="1562"/>
      <c r="Y131" s="1562"/>
      <c r="Z131" s="1562"/>
      <c r="AA131" s="1562"/>
      <c r="AB131" s="1086"/>
      <c r="AC131" s="5488"/>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8"/>
      <c r="D132" s="5610"/>
      <c r="E132" s="585" t="s">
        <v>28</v>
      </c>
      <c r="F132" s="1094" t="s">
        <v>28</v>
      </c>
      <c r="G132" s="1094" t="s">
        <v>1967</v>
      </c>
      <c r="H132" s="587" t="s">
        <v>28</v>
      </c>
      <c r="I132" s="587"/>
      <c r="J132" s="587"/>
      <c r="K132" s="587"/>
      <c r="L132" s="587"/>
      <c r="M132" s="587"/>
      <c r="N132" s="587"/>
      <c r="O132" s="587"/>
      <c r="P132" s="587"/>
      <c r="Q132" s="587"/>
      <c r="R132" s="588"/>
      <c r="S132" s="589"/>
      <c r="T132" s="654"/>
      <c r="U132" s="5385"/>
      <c r="V132" s="5385"/>
      <c r="W132" s="1086"/>
      <c r="X132" s="1086"/>
      <c r="Y132" s="1086"/>
      <c r="Z132" s="1086"/>
      <c r="AA132" s="1562"/>
      <c r="AB132" s="1086"/>
      <c r="AC132" s="5488"/>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5610"/>
      <c r="E133" s="968"/>
      <c r="F133" s="968"/>
      <c r="G133" s="968"/>
      <c r="H133" s="968"/>
      <c r="I133" s="968"/>
      <c r="J133" s="968"/>
      <c r="K133" s="968"/>
      <c r="L133" s="968"/>
      <c r="M133" s="968"/>
      <c r="N133" s="968"/>
      <c r="O133" s="968"/>
      <c r="P133" s="968"/>
      <c r="Q133" s="969"/>
      <c r="R133" s="970"/>
      <c r="S133" s="971"/>
      <c r="T133" s="653" t="s">
        <v>644</v>
      </c>
      <c r="U133" s="5385">
        <v>1</v>
      </c>
      <c r="V133" s="5385" t="s">
        <v>607</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5610"/>
      <c r="E134" s="571"/>
      <c r="F134" s="571"/>
      <c r="G134" s="571"/>
      <c r="H134" s="571"/>
      <c r="I134" s="571"/>
      <c r="J134" s="571"/>
      <c r="K134" s="571"/>
      <c r="L134" s="571"/>
      <c r="M134" s="571"/>
      <c r="N134" s="571"/>
      <c r="O134" s="571"/>
      <c r="P134" s="571"/>
      <c r="Q134" s="571"/>
      <c r="R134" s="571"/>
      <c r="S134" s="572"/>
      <c r="T134" s="654"/>
      <c r="U134" s="5385"/>
      <c r="V134" s="5385"/>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5611"/>
      <c r="E135" s="972"/>
      <c r="F135" s="973"/>
      <c r="G135" s="973"/>
      <c r="H135" s="974"/>
      <c r="I135" s="974"/>
      <c r="J135" s="974"/>
      <c r="K135" s="974"/>
      <c r="L135" s="974"/>
      <c r="M135" s="974"/>
      <c r="N135" s="974"/>
      <c r="O135" s="974"/>
      <c r="P135" s="974"/>
      <c r="Q135" s="974"/>
      <c r="R135" s="875"/>
      <c r="S135" s="975"/>
      <c r="T135" s="654"/>
      <c r="U135" s="5385"/>
      <c r="V135" s="5385"/>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1969</v>
      </c>
    </row>
    <row r="139" spans="1:83" s="1774" customFormat="1" ht="45" customHeight="1">
      <c r="A139" s="1731"/>
      <c r="B139" s="1086"/>
      <c r="C139" s="348"/>
      <c r="D139" s="29"/>
      <c r="E139" s="5614"/>
      <c r="F139" s="5246" t="s">
        <v>111</v>
      </c>
      <c r="G139" s="5617" t="s">
        <v>28</v>
      </c>
      <c r="H139" s="226"/>
      <c r="I139" s="573" t="s">
        <v>111</v>
      </c>
      <c r="J139" s="1732" t="s">
        <v>1970</v>
      </c>
      <c r="K139" s="574" t="s">
        <v>578</v>
      </c>
      <c r="L139" s="5345" t="s">
        <v>578</v>
      </c>
      <c r="M139" s="5300"/>
      <c r="N139" s="574" t="s">
        <v>578</v>
      </c>
      <c r="O139" s="574" t="s">
        <v>578</v>
      </c>
      <c r="P139" s="574" t="s">
        <v>578</v>
      </c>
      <c r="Q139" s="575">
        <f>SUM(Q140:Q142)</f>
        <v>0</v>
      </c>
      <c r="R139" s="575">
        <f>IF(R136=0,0,(Q136/R136)*100)</f>
        <v>0</v>
      </c>
      <c r="S139" s="5321"/>
      <c r="T139" s="653" t="s">
        <v>644</v>
      </c>
      <c r="U139" s="29"/>
      <c r="V139" s="29"/>
      <c r="AC139" s="29"/>
    </row>
    <row r="140" spans="1:83" s="1774" customFormat="1" ht="11.25" customHeight="1">
      <c r="A140" s="1731"/>
      <c r="B140" s="1086"/>
      <c r="C140" s="348"/>
      <c r="D140" s="29"/>
      <c r="E140" s="5615"/>
      <c r="F140" s="5246"/>
      <c r="G140" s="5617"/>
      <c r="H140" s="5235"/>
      <c r="I140" s="5544" t="s">
        <v>1053</v>
      </c>
      <c r="J140" s="5612"/>
      <c r="K140" s="5613"/>
      <c r="L140" s="576"/>
      <c r="M140" s="577" t="s">
        <v>111</v>
      </c>
      <c r="N140" s="1720"/>
      <c r="O140" s="578"/>
      <c r="P140" s="579"/>
      <c r="Q140" s="578"/>
      <c r="R140" s="580">
        <v>0</v>
      </c>
      <c r="S140" s="5321"/>
      <c r="T140" s="653"/>
      <c r="U140" s="29"/>
      <c r="V140" s="29"/>
      <c r="AC140" s="29"/>
    </row>
    <row r="141" spans="1:83" s="1774" customFormat="1" ht="11.25" customHeight="1">
      <c r="A141" s="1731"/>
      <c r="B141" s="1086"/>
      <c r="C141" s="348"/>
      <c r="D141" s="29"/>
      <c r="E141" s="5615"/>
      <c r="F141" s="5246"/>
      <c r="G141" s="5617"/>
      <c r="H141" s="5235"/>
      <c r="I141" s="5544"/>
      <c r="J141" s="5612"/>
      <c r="K141" s="5608"/>
      <c r="L141" s="581"/>
      <c r="M141" s="582"/>
      <c r="N141" s="583" t="s">
        <v>1971</v>
      </c>
      <c r="O141" s="583"/>
      <c r="P141" s="583"/>
      <c r="Q141" s="583"/>
      <c r="R141" s="584"/>
      <c r="S141" s="5321"/>
      <c r="T141" s="653"/>
      <c r="U141" s="29"/>
      <c r="V141" s="29"/>
      <c r="AC141" s="29"/>
    </row>
    <row r="142" spans="1:83" s="1774" customFormat="1" ht="11.25" customHeight="1">
      <c r="A142" s="1731"/>
      <c r="B142" s="1086"/>
      <c r="C142" s="348"/>
      <c r="D142" s="29"/>
      <c r="E142" s="5616"/>
      <c r="F142" s="5246"/>
      <c r="G142" s="5618"/>
      <c r="H142" s="581" t="s">
        <v>28</v>
      </c>
      <c r="I142" s="582"/>
      <c r="J142" s="583" t="s">
        <v>1972</v>
      </c>
      <c r="K142" s="583"/>
      <c r="L142" s="583"/>
      <c r="M142" s="583"/>
      <c r="N142" s="583"/>
      <c r="O142" s="583"/>
      <c r="P142" s="583"/>
      <c r="Q142" s="583"/>
      <c r="R142" s="584"/>
      <c r="S142" s="5321"/>
      <c r="T142" s="653"/>
      <c r="U142" s="29"/>
      <c r="V142" s="29"/>
      <c r="AC142" s="29"/>
    </row>
    <row r="147" spans="1:43" s="1774" customFormat="1" ht="11.25" customHeight="1">
      <c r="A147" s="1731"/>
      <c r="B147" s="1086"/>
      <c r="C147" s="348"/>
      <c r="D147" s="29"/>
      <c r="E147" s="1754"/>
      <c r="F147" s="1754"/>
      <c r="G147" s="1754"/>
      <c r="H147" s="5235"/>
      <c r="I147" s="5544" t="s">
        <v>1053</v>
      </c>
      <c r="J147" s="5612"/>
      <c r="K147" s="5613"/>
      <c r="L147" s="576"/>
      <c r="M147" s="577" t="s">
        <v>111</v>
      </c>
      <c r="N147" s="1720"/>
      <c r="O147" s="578"/>
      <c r="P147" s="579"/>
      <c r="Q147" s="578"/>
      <c r="R147" s="580">
        <v>0</v>
      </c>
      <c r="S147" s="29"/>
      <c r="T147" s="653"/>
      <c r="U147" s="29"/>
      <c r="V147" s="29"/>
      <c r="AC147" s="29"/>
    </row>
    <row r="148" spans="1:43" s="1774" customFormat="1" ht="11.25" customHeight="1">
      <c r="A148" s="1731"/>
      <c r="B148" s="1086"/>
      <c r="C148" s="348"/>
      <c r="D148" s="29"/>
      <c r="E148" s="1754"/>
      <c r="F148" s="1754"/>
      <c r="G148" s="1754"/>
      <c r="H148" s="5235"/>
      <c r="I148" s="5544"/>
      <c r="J148" s="5612"/>
      <c r="K148" s="5608"/>
      <c r="L148" s="581"/>
      <c r="M148" s="582"/>
      <c r="N148" s="583" t="s">
        <v>1971</v>
      </c>
      <c r="O148" s="583"/>
      <c r="P148" s="583"/>
      <c r="Q148" s="583"/>
      <c r="R148" s="584"/>
      <c r="S148" s="29"/>
      <c r="T148" s="653"/>
      <c r="U148" s="29"/>
      <c r="V148" s="29"/>
      <c r="AC148" s="29"/>
    </row>
    <row r="150" spans="1:43" s="1774" customFormat="1" ht="11.25" customHeight="1">
      <c r="A150" s="1731"/>
      <c r="B150" s="1086"/>
      <c r="C150" s="348"/>
      <c r="D150" s="29"/>
      <c r="E150" s="1761"/>
      <c r="F150" s="1759"/>
      <c r="G150" s="1759"/>
      <c r="H150" s="1762"/>
      <c r="I150" s="1754"/>
      <c r="J150" s="1755"/>
      <c r="K150" s="1755"/>
      <c r="L150" s="576"/>
      <c r="M150" s="577" t="s">
        <v>111</v>
      </c>
      <c r="N150" s="1720"/>
      <c r="O150" s="578"/>
      <c r="P150" s="579"/>
      <c r="Q150" s="578"/>
      <c r="R150" s="580">
        <v>0</v>
      </c>
      <c r="S150" s="29"/>
      <c r="T150" s="653"/>
      <c r="U150" s="29"/>
      <c r="V150" s="29"/>
      <c r="AC150" s="29"/>
    </row>
    <row r="152" spans="1:43" s="1740" customFormat="1" ht="17.25" customHeight="1">
      <c r="A152" s="1740" t="s">
        <v>1973</v>
      </c>
    </row>
    <row r="153" spans="1:43" ht="17.25" customHeight="1">
      <c r="G153" s="1763"/>
      <c r="H153" s="1763"/>
      <c r="I153" s="1763"/>
      <c r="M153" s="1759"/>
    </row>
    <row r="154" spans="1:43" s="1777" customFormat="1" ht="17.25" customHeight="1">
      <c r="A154" s="1764"/>
      <c r="C154" s="1766"/>
      <c r="D154" s="5309"/>
      <c r="E154" s="5257"/>
      <c r="F154" s="5270"/>
      <c r="G154" s="5276"/>
      <c r="H154" s="5309"/>
      <c r="I154" s="5309">
        <v>1</v>
      </c>
      <c r="J154" s="5307"/>
      <c r="K154" s="5303" t="s">
        <v>65</v>
      </c>
      <c r="L154" s="5246"/>
      <c r="M154" s="5246" t="s">
        <v>111</v>
      </c>
      <c r="N154" s="5619" t="str">
        <f>IF(Z154="","",INDEX(TERRITORY_MR_LIST,MATCH(Z154,TERRITORY_LIST_ID,0)))</f>
        <v/>
      </c>
      <c r="O154" s="5303" t="s">
        <v>65</v>
      </c>
      <c r="P154" s="5246"/>
      <c r="Q154" s="5246" t="s">
        <v>111</v>
      </c>
      <c r="R154" s="5608" t="s">
        <v>28</v>
      </c>
      <c r="S154" s="5245" t="s">
        <v>65</v>
      </c>
      <c r="T154" s="1736"/>
      <c r="U154" s="1736" t="s">
        <v>111</v>
      </c>
      <c r="V154" s="1767" t="s">
        <v>28</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5309"/>
      <c r="E155" s="5257"/>
      <c r="F155" s="5271"/>
      <c r="G155" s="5276"/>
      <c r="H155" s="5309"/>
      <c r="I155" s="5309"/>
      <c r="J155" s="5307"/>
      <c r="K155" s="5304"/>
      <c r="L155" s="5246"/>
      <c r="M155" s="5246"/>
      <c r="N155" s="5619"/>
      <c r="O155" s="5304"/>
      <c r="P155" s="5246"/>
      <c r="Q155" s="5246"/>
      <c r="R155" s="5608"/>
      <c r="S155" s="5245"/>
      <c r="T155" s="254"/>
      <c r="U155" s="255"/>
      <c r="V155" s="255" t="s">
        <v>163</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5269"/>
      <c r="E156" s="5258"/>
      <c r="F156" s="5271"/>
      <c r="G156" s="5277"/>
      <c r="H156" s="5269"/>
      <c r="I156" s="5269"/>
      <c r="J156" s="5308"/>
      <c r="K156" s="5304"/>
      <c r="L156" s="5269"/>
      <c r="M156" s="5269"/>
      <c r="N156" s="5620"/>
      <c r="O156" s="5250"/>
      <c r="P156" s="254"/>
      <c r="Q156" s="255"/>
      <c r="R156" s="255" t="s">
        <v>164</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5269"/>
      <c r="E157" s="5258"/>
      <c r="F157" s="5271"/>
      <c r="G157" s="5277"/>
      <c r="H157" s="5269"/>
      <c r="I157" s="5269"/>
      <c r="J157" s="5308"/>
      <c r="K157" s="5250"/>
      <c r="L157" s="254"/>
      <c r="M157" s="255"/>
      <c r="N157" s="255" t="s">
        <v>165</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5269"/>
      <c r="E158" s="5258"/>
      <c r="F158" s="5272"/>
      <c r="G158" s="5277"/>
      <c r="H158" s="254"/>
      <c r="I158" s="255"/>
      <c r="J158" s="255" t="s">
        <v>182</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5309"/>
      <c r="I160" s="5309">
        <v>1</v>
      </c>
      <c r="J160" s="5307"/>
      <c r="K160" s="5303" t="s">
        <v>65</v>
      </c>
      <c r="L160" s="5246"/>
      <c r="M160" s="5246" t="s">
        <v>111</v>
      </c>
      <c r="N160" s="5619" t="str">
        <f>IF(Z160="","",INDEX(TERRITORY_MR_LIST,MATCH(Z160,TERRITORY_LIST_ID,0)))</f>
        <v/>
      </c>
      <c r="O160" s="5303" t="s">
        <v>65</v>
      </c>
      <c r="P160" s="5246"/>
      <c r="Q160" s="5246" t="s">
        <v>111</v>
      </c>
      <c r="R160" s="5608" t="s">
        <v>28</v>
      </c>
      <c r="S160" s="5245" t="s">
        <v>65</v>
      </c>
      <c r="T160" s="1736"/>
      <c r="U160" s="1736" t="s">
        <v>111</v>
      </c>
      <c r="V160" s="1767" t="s">
        <v>28</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5309"/>
      <c r="I161" s="5309"/>
      <c r="J161" s="5307"/>
      <c r="K161" s="5304"/>
      <c r="L161" s="5246"/>
      <c r="M161" s="5246"/>
      <c r="N161" s="5619"/>
      <c r="O161" s="5304"/>
      <c r="P161" s="5246"/>
      <c r="Q161" s="5246"/>
      <c r="R161" s="5608"/>
      <c r="S161" s="5245"/>
      <c r="T161" s="254"/>
      <c r="U161" s="255"/>
      <c r="V161" s="255" t="s">
        <v>163</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5269"/>
      <c r="I162" s="5269"/>
      <c r="J162" s="5308"/>
      <c r="K162" s="5304"/>
      <c r="L162" s="5269"/>
      <c r="M162" s="5269"/>
      <c r="N162" s="5620"/>
      <c r="O162" s="5250"/>
      <c r="P162" s="254"/>
      <c r="Q162" s="255"/>
      <c r="R162" s="255" t="s">
        <v>164</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5269"/>
      <c r="I163" s="5269"/>
      <c r="J163" s="5308"/>
      <c r="K163" s="5250"/>
      <c r="L163" s="254"/>
      <c r="M163" s="255"/>
      <c r="N163" s="255" t="s">
        <v>165</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5246"/>
      <c r="M165" s="5246" t="s">
        <v>111</v>
      </c>
      <c r="N165" s="5619" t="str">
        <f>IF(Z165="","",INDEX(TERRITORY_MR_LIST,MATCH(Z165,TERRITORY_LIST_ID,0)))</f>
        <v/>
      </c>
      <c r="O165" s="5303" t="s">
        <v>65</v>
      </c>
      <c r="P165" s="5246"/>
      <c r="Q165" s="5246" t="s">
        <v>111</v>
      </c>
      <c r="R165" s="5608" t="s">
        <v>28</v>
      </c>
      <c r="S165" s="5245" t="s">
        <v>65</v>
      </c>
      <c r="T165" s="1736"/>
      <c r="U165" s="1736" t="s">
        <v>111</v>
      </c>
      <c r="V165" s="1767" t="s">
        <v>28</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5246"/>
      <c r="M166" s="5246"/>
      <c r="N166" s="5619"/>
      <c r="O166" s="5304"/>
      <c r="P166" s="5246"/>
      <c r="Q166" s="5246"/>
      <c r="R166" s="5608"/>
      <c r="S166" s="5245"/>
      <c r="T166" s="254"/>
      <c r="U166" s="255"/>
      <c r="V166" s="255" t="s">
        <v>163</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5269"/>
      <c r="M167" s="5269"/>
      <c r="N167" s="5620"/>
      <c r="O167" s="5250"/>
      <c r="P167" s="254"/>
      <c r="Q167" s="255"/>
      <c r="R167" s="255" t="s">
        <v>164</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5246"/>
      <c r="Q169" s="5246" t="s">
        <v>111</v>
      </c>
      <c r="R169" s="5608" t="s">
        <v>28</v>
      </c>
      <c r="S169" s="5245" t="s">
        <v>65</v>
      </c>
      <c r="T169" s="1736"/>
      <c r="U169" s="1736" t="s">
        <v>111</v>
      </c>
      <c r="V169" s="1767" t="s">
        <v>28</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5246"/>
      <c r="Q170" s="5246"/>
      <c r="R170" s="5608"/>
      <c r="S170" s="5245"/>
      <c r="T170" s="254"/>
      <c r="U170" s="255"/>
      <c r="V170" s="255" t="s">
        <v>163</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111</v>
      </c>
      <c r="V172" s="1767" t="s">
        <v>28</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1974</v>
      </c>
    </row>
    <row r="175" spans="1:43" ht="17.25" customHeight="1">
      <c r="G175" s="1763"/>
      <c r="H175" s="1763"/>
      <c r="I175" s="1763"/>
      <c r="M175" s="1759"/>
    </row>
    <row r="176" spans="1:43" s="1777" customFormat="1" ht="17.25" customHeight="1">
      <c r="A176" s="1764"/>
      <c r="C176" s="1766"/>
      <c r="D176" s="5309"/>
      <c r="E176" s="5257"/>
      <c r="F176" s="5270"/>
      <c r="G176" s="5276"/>
      <c r="H176" s="5309"/>
      <c r="I176" s="5309">
        <v>1</v>
      </c>
      <c r="J176" s="5307"/>
      <c r="K176" s="5303" t="s">
        <v>65</v>
      </c>
      <c r="L176" s="5246"/>
      <c r="M176" s="5246" t="s">
        <v>111</v>
      </c>
      <c r="N176" s="5619" t="str">
        <f>IF(Z176="","",INDEX(TERRITORY_MR_LIST,MATCH(Z176,TERRITORY_LIST_ID,0)))</f>
        <v/>
      </c>
      <c r="O176" s="5303" t="s">
        <v>65</v>
      </c>
      <c r="P176" s="5246"/>
      <c r="Q176" s="5246" t="s">
        <v>111</v>
      </c>
      <c r="R176" s="5608" t="s">
        <v>28</v>
      </c>
      <c r="S176" s="5507" t="s">
        <v>19</v>
      </c>
      <c r="T176" s="1727"/>
      <c r="U176" s="1727" t="s">
        <v>111</v>
      </c>
      <c r="V176" s="1360"/>
      <c r="W176" s="5307"/>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5309"/>
      <c r="E177" s="5257"/>
      <c r="F177" s="5271"/>
      <c r="G177" s="5276"/>
      <c r="H177" s="5309"/>
      <c r="I177" s="5309"/>
      <c r="J177" s="5307"/>
      <c r="K177" s="5304"/>
      <c r="L177" s="5246"/>
      <c r="M177" s="5246"/>
      <c r="N177" s="5619"/>
      <c r="O177" s="5304"/>
      <c r="P177" s="5246"/>
      <c r="Q177" s="5246"/>
      <c r="R177" s="5608"/>
      <c r="S177" s="5507"/>
      <c r="T177" s="1361"/>
      <c r="U177" s="1362"/>
      <c r="V177" s="1362"/>
      <c r="W177" s="5307"/>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5269"/>
      <c r="E178" s="5258"/>
      <c r="F178" s="5271"/>
      <c r="G178" s="5277"/>
      <c r="H178" s="5269"/>
      <c r="I178" s="5269"/>
      <c r="J178" s="5308"/>
      <c r="K178" s="5304"/>
      <c r="L178" s="5269"/>
      <c r="M178" s="5269"/>
      <c r="N178" s="5620"/>
      <c r="O178" s="5250"/>
      <c r="P178" s="254"/>
      <c r="Q178" s="255"/>
      <c r="R178" s="255" t="s">
        <v>164</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5269"/>
      <c r="E179" s="5258"/>
      <c r="F179" s="5271"/>
      <c r="G179" s="5277"/>
      <c r="H179" s="5269"/>
      <c r="I179" s="5269"/>
      <c r="J179" s="5308"/>
      <c r="K179" s="5250"/>
      <c r="L179" s="254"/>
      <c r="M179" s="255"/>
      <c r="N179" s="255" t="s">
        <v>165</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5269"/>
      <c r="E180" s="5258"/>
      <c r="F180" s="5272"/>
      <c r="G180" s="5277"/>
      <c r="H180" s="254"/>
      <c r="I180" s="255"/>
      <c r="J180" s="255" t="s">
        <v>182</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5309"/>
      <c r="I182" s="5309">
        <v>1</v>
      </c>
      <c r="J182" s="5307"/>
      <c r="K182" s="5303" t="s">
        <v>65</v>
      </c>
      <c r="L182" s="5246"/>
      <c r="M182" s="5246" t="s">
        <v>111</v>
      </c>
      <c r="N182" s="5619" t="str">
        <f>IF(Z182="","",INDEX(TERRITORY_MR_LIST,MATCH(Z182,TERRITORY_LIST_ID,0)))</f>
        <v/>
      </c>
      <c r="O182" s="5303" t="s">
        <v>65</v>
      </c>
      <c r="P182" s="5246"/>
      <c r="Q182" s="5246" t="s">
        <v>111</v>
      </c>
      <c r="R182" s="5608" t="s">
        <v>28</v>
      </c>
      <c r="S182" s="5507" t="s">
        <v>19</v>
      </c>
      <c r="T182" s="1727"/>
      <c r="U182" s="1727" t="s">
        <v>111</v>
      </c>
      <c r="V182" s="1360"/>
      <c r="W182" s="5307"/>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5309"/>
      <c r="I183" s="5309"/>
      <c r="J183" s="5307"/>
      <c r="K183" s="5304"/>
      <c r="L183" s="5246"/>
      <c r="M183" s="5246"/>
      <c r="N183" s="5619"/>
      <c r="O183" s="5304"/>
      <c r="P183" s="5246"/>
      <c r="Q183" s="5246"/>
      <c r="R183" s="5608"/>
      <c r="S183" s="5507"/>
      <c r="T183" s="1361"/>
      <c r="U183" s="1362"/>
      <c r="V183" s="1362"/>
      <c r="W183" s="5307"/>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5269"/>
      <c r="I184" s="5269"/>
      <c r="J184" s="5308"/>
      <c r="K184" s="5304"/>
      <c r="L184" s="5269"/>
      <c r="M184" s="5269"/>
      <c r="N184" s="5620"/>
      <c r="O184" s="5250"/>
      <c r="P184" s="254"/>
      <c r="Q184" s="255"/>
      <c r="R184" s="255" t="s">
        <v>164</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5269"/>
      <c r="I185" s="5269"/>
      <c r="J185" s="5308"/>
      <c r="K185" s="5250"/>
      <c r="L185" s="254"/>
      <c r="M185" s="255"/>
      <c r="N185" s="255" t="s">
        <v>165</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5246"/>
      <c r="M187" s="5246" t="s">
        <v>111</v>
      </c>
      <c r="N187" s="5619" t="str">
        <f>IF(Z187="","",INDEX(TERRITORY_MR_LIST,MATCH(Z187,TERRITORY_LIST_ID,0)))</f>
        <v/>
      </c>
      <c r="O187" s="5303" t="s">
        <v>65</v>
      </c>
      <c r="P187" s="5246"/>
      <c r="Q187" s="5246" t="s">
        <v>111</v>
      </c>
      <c r="R187" s="5608" t="s">
        <v>28</v>
      </c>
      <c r="S187" s="5507" t="s">
        <v>19</v>
      </c>
      <c r="T187" s="1727"/>
      <c r="U187" s="1727" t="s">
        <v>111</v>
      </c>
      <c r="V187" s="1360"/>
      <c r="W187" s="5307"/>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5246"/>
      <c r="M188" s="5246"/>
      <c r="N188" s="5619"/>
      <c r="O188" s="5304"/>
      <c r="P188" s="5246"/>
      <c r="Q188" s="5246"/>
      <c r="R188" s="5608"/>
      <c r="S188" s="5507"/>
      <c r="T188" s="1361"/>
      <c r="U188" s="1362"/>
      <c r="V188" s="1362"/>
      <c r="W188" s="5307"/>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5269"/>
      <c r="M189" s="5269"/>
      <c r="N189" s="5620"/>
      <c r="O189" s="5250"/>
      <c r="P189" s="254"/>
      <c r="Q189" s="255"/>
      <c r="R189" s="255" t="s">
        <v>164</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5246"/>
      <c r="Q191" s="5246" t="s">
        <v>111</v>
      </c>
      <c r="R191" s="5608" t="s">
        <v>28</v>
      </c>
      <c r="S191" s="5507" t="s">
        <v>19</v>
      </c>
      <c r="T191" s="1727"/>
      <c r="U191" s="1727" t="s">
        <v>111</v>
      </c>
      <c r="V191" s="1360"/>
      <c r="W191" s="5307"/>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5246"/>
      <c r="Q192" s="5246"/>
      <c r="R192" s="5608"/>
      <c r="S192" s="5507"/>
      <c r="T192" s="1361"/>
      <c r="U192" s="1362"/>
      <c r="V192" s="1362"/>
      <c r="W192" s="5307"/>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5309"/>
      <c r="E194" s="5321"/>
      <c r="F194" s="5321"/>
      <c r="G194" s="5235"/>
      <c r="H194" s="5259"/>
      <c r="I194" s="5261"/>
      <c r="J194" s="5263"/>
      <c r="K194" s="5255"/>
      <c r="L194" s="5255"/>
      <c r="M194" s="5255"/>
      <c r="N194" s="5266"/>
      <c r="O194" s="5255"/>
      <c r="P194" s="5255"/>
      <c r="Q194" s="5255"/>
      <c r="R194" s="5253"/>
      <c r="S194" s="5255"/>
      <c r="T194" s="1708"/>
      <c r="U194" s="1708"/>
      <c r="V194" s="1776"/>
      <c r="W194" s="1222"/>
    </row>
    <row r="195" spans="1:63" ht="16.5" customHeight="1">
      <c r="A195" s="1764"/>
      <c r="B195" s="1765"/>
      <c r="C195" s="1769"/>
      <c r="D195" s="5309"/>
      <c r="E195" s="5321"/>
      <c r="F195" s="5321"/>
      <c r="G195" s="5235"/>
      <c r="H195" s="5260"/>
      <c r="I195" s="5262"/>
      <c r="J195" s="5264"/>
      <c r="K195" s="5256"/>
      <c r="L195" s="5256"/>
      <c r="M195" s="5256"/>
      <c r="N195" s="5267"/>
      <c r="O195" s="5256"/>
      <c r="P195" s="5256"/>
      <c r="Q195" s="5256"/>
      <c r="R195" s="5254"/>
      <c r="S195" s="5256"/>
      <c r="T195" s="1223"/>
      <c r="U195" s="1223"/>
      <c r="V195" s="1223"/>
      <c r="W195" s="1224"/>
    </row>
    <row r="196" spans="1:63" ht="17.25" customHeight="1">
      <c r="A196" s="1764"/>
      <c r="B196" s="1765"/>
      <c r="C196" s="1769"/>
      <c r="D196" s="5309"/>
      <c r="E196" s="5321"/>
      <c r="F196" s="5321"/>
      <c r="G196" s="5235"/>
      <c r="H196" s="5260"/>
      <c r="I196" s="5262"/>
      <c r="J196" s="5265"/>
      <c r="K196" s="5256"/>
      <c r="L196" s="5256"/>
      <c r="M196" s="5256"/>
      <c r="N196" s="5254"/>
      <c r="O196" s="5256"/>
      <c r="P196" s="1711"/>
      <c r="Q196" s="1223"/>
      <c r="R196" s="1223"/>
      <c r="S196" s="1777"/>
      <c r="T196" s="1777"/>
      <c r="U196" s="1777"/>
      <c r="V196" s="1777"/>
      <c r="W196" s="1224"/>
    </row>
    <row r="197" spans="1:63" ht="17.25" customHeight="1">
      <c r="A197" s="1764"/>
      <c r="B197" s="1765"/>
      <c r="C197" s="1769"/>
      <c r="D197" s="5309"/>
      <c r="E197" s="5321"/>
      <c r="F197" s="5321"/>
      <c r="G197" s="5235"/>
      <c r="H197" s="5260"/>
      <c r="I197" s="5262"/>
      <c r="J197" s="5265"/>
      <c r="K197" s="5256"/>
      <c r="L197" s="1223"/>
      <c r="M197" s="1223"/>
      <c r="N197" s="1223"/>
      <c r="O197" s="1223"/>
      <c r="P197" s="1223"/>
      <c r="Q197" s="1223"/>
      <c r="R197" s="1223"/>
      <c r="S197" s="1777"/>
      <c r="T197" s="1777"/>
      <c r="U197" s="1777"/>
      <c r="V197" s="1777"/>
      <c r="W197" s="1224"/>
    </row>
    <row r="198" spans="1:63" ht="17.25" customHeight="1">
      <c r="A198" s="1764"/>
      <c r="B198" s="1765"/>
      <c r="C198" s="1769"/>
      <c r="D198" s="5309"/>
      <c r="E198" s="5321"/>
      <c r="F198" s="5321"/>
      <c r="G198" s="5235"/>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1975</v>
      </c>
    </row>
    <row r="201" spans="1:63" ht="17.25" customHeight="1">
      <c r="G201" s="1763"/>
      <c r="H201" s="1763"/>
      <c r="I201" s="1763"/>
      <c r="M201" s="1759"/>
    </row>
    <row r="202" spans="1:63" s="1774" customFormat="1" ht="15" customHeight="1">
      <c r="D202" s="5643"/>
      <c r="E202" s="5316"/>
      <c r="F202" s="5316"/>
      <c r="G202" s="5303"/>
      <c r="H202" s="1490"/>
      <c r="I202" s="5644">
        <v>1</v>
      </c>
      <c r="J202" s="5307"/>
      <c r="K202" s="1505"/>
      <c r="L202" s="5303" t="s">
        <v>65</v>
      </c>
      <c r="M202" s="5303" t="s">
        <v>65</v>
      </c>
      <c r="N202" s="1490"/>
      <c r="O202" s="5246" t="s">
        <v>111</v>
      </c>
      <c r="P202" s="5650"/>
      <c r="Q202" s="1506"/>
      <c r="R202" s="5303" t="s">
        <v>65</v>
      </c>
      <c r="S202" s="5303" t="s">
        <v>65</v>
      </c>
      <c r="T202" s="1779"/>
      <c r="U202" s="5246" t="s">
        <v>111</v>
      </c>
      <c r="V202" s="5640" t="str">
        <f>IF(AK202="","",INDEX(TERRITORY_MR_LIST,MATCH(AK202,TERRITORY_LIST_ID,0)))</f>
        <v/>
      </c>
      <c r="W202" s="1507"/>
      <c r="X202" s="5303" t="s">
        <v>65</v>
      </c>
      <c r="Y202" s="5303" t="s">
        <v>19</v>
      </c>
      <c r="Z202" s="1490"/>
      <c r="AA202" s="5246" t="s">
        <v>111</v>
      </c>
      <c r="AB202" s="5642"/>
      <c r="AC202" s="1508"/>
      <c r="AD202" s="5303" t="s">
        <v>65</v>
      </c>
      <c r="AE202" s="5303" t="s">
        <v>19</v>
      </c>
      <c r="AF202" s="1488"/>
      <c r="AG202" s="1736" t="s">
        <v>111</v>
      </c>
      <c r="AH202" s="1498"/>
      <c r="AI202" s="1726"/>
    </row>
    <row r="203" spans="1:63" s="1774" customFormat="1" ht="15" customHeight="1">
      <c r="D203" s="5643"/>
      <c r="E203" s="5316"/>
      <c r="F203" s="5316"/>
      <c r="G203" s="5304"/>
      <c r="H203" s="1490"/>
      <c r="I203" s="5644"/>
      <c r="J203" s="5307"/>
      <c r="K203" s="1489"/>
      <c r="L203" s="5304"/>
      <c r="M203" s="5304"/>
      <c r="N203" s="1490"/>
      <c r="O203" s="5246"/>
      <c r="P203" s="5650"/>
      <c r="Q203" s="1486"/>
      <c r="R203" s="5304"/>
      <c r="S203" s="5304"/>
      <c r="T203" s="1779"/>
      <c r="U203" s="5246"/>
      <c r="V203" s="5641"/>
      <c r="W203" s="1487"/>
      <c r="X203" s="5304"/>
      <c r="Y203" s="5304"/>
      <c r="Z203" s="1490"/>
      <c r="AA203" s="5246"/>
      <c r="AB203" s="5577"/>
      <c r="AC203" s="1491"/>
      <c r="AD203" s="5250"/>
      <c r="AE203" s="5250"/>
      <c r="AF203" s="1492"/>
      <c r="AG203" s="1493"/>
      <c r="AH203" s="5646" t="s">
        <v>1976</v>
      </c>
      <c r="AI203" s="5647"/>
    </row>
    <row r="204" spans="1:63" s="1774" customFormat="1" ht="15" customHeight="1">
      <c r="D204" s="5643"/>
      <c r="E204" s="5316"/>
      <c r="F204" s="5316"/>
      <c r="G204" s="5304"/>
      <c r="H204" s="1490"/>
      <c r="I204" s="5644"/>
      <c r="J204" s="5307"/>
      <c r="K204" s="1489"/>
      <c r="L204" s="5304"/>
      <c r="M204" s="5304"/>
      <c r="N204" s="1490"/>
      <c r="O204" s="5246"/>
      <c r="P204" s="5650"/>
      <c r="Q204" s="1486"/>
      <c r="R204" s="5304"/>
      <c r="S204" s="5304"/>
      <c r="T204" s="1779"/>
      <c r="U204" s="5246"/>
      <c r="V204" s="5641"/>
      <c r="W204" s="1487"/>
      <c r="X204" s="5304"/>
      <c r="Y204" s="5304"/>
      <c r="Z204" s="1529"/>
      <c r="AA204" s="1495"/>
      <c r="AB204" s="5648" t="s">
        <v>1977</v>
      </c>
      <c r="AC204" s="5648"/>
      <c r="AD204" s="5648"/>
      <c r="AE204" s="5648"/>
      <c r="AF204" s="5648"/>
      <c r="AG204" s="5648"/>
      <c r="AH204" s="5648"/>
      <c r="AI204" s="5649"/>
    </row>
    <row r="205" spans="1:63" s="1774" customFormat="1" ht="15" customHeight="1">
      <c r="D205" s="5643"/>
      <c r="E205" s="5316"/>
      <c r="F205" s="5316"/>
      <c r="G205" s="5304"/>
      <c r="H205" s="1490"/>
      <c r="I205" s="5644"/>
      <c r="J205" s="5307"/>
      <c r="K205" s="1489"/>
      <c r="L205" s="5304"/>
      <c r="M205" s="5304"/>
      <c r="N205" s="1490"/>
      <c r="O205" s="5246"/>
      <c r="P205" s="5651"/>
      <c r="Q205" s="1486"/>
      <c r="R205" s="5304"/>
      <c r="S205" s="5304"/>
      <c r="T205" s="1780"/>
      <c r="U205" s="1530"/>
      <c r="V205" s="5646" t="s">
        <v>105</v>
      </c>
      <c r="W205" s="5646"/>
      <c r="X205" s="5646"/>
      <c r="Y205" s="5646"/>
      <c r="Z205" s="5646"/>
      <c r="AA205" s="5646"/>
      <c r="AB205" s="5646"/>
      <c r="AC205" s="5646"/>
      <c r="AD205" s="5646"/>
      <c r="AE205" s="5646"/>
      <c r="AF205" s="5646"/>
      <c r="AG205" s="5646"/>
      <c r="AH205" s="5646"/>
      <c r="AI205" s="5647"/>
    </row>
    <row r="206" spans="1:63" s="1774" customFormat="1" ht="11.25" customHeight="1">
      <c r="D206" s="5643"/>
      <c r="E206" s="5316"/>
      <c r="F206" s="5316"/>
      <c r="G206" s="5304"/>
      <c r="H206" s="1494"/>
      <c r="I206" s="5644"/>
      <c r="J206" s="5645"/>
      <c r="K206" s="1489"/>
      <c r="L206" s="5304"/>
      <c r="M206" s="5304"/>
      <c r="N206" s="1494"/>
      <c r="O206" s="1495"/>
      <c r="P206" s="5646" t="s">
        <v>1978</v>
      </c>
      <c r="Q206" s="5646"/>
      <c r="R206" s="5646"/>
      <c r="S206" s="5646"/>
      <c r="T206" s="5646"/>
      <c r="U206" s="5646"/>
      <c r="V206" s="5646"/>
      <c r="W206" s="5646"/>
      <c r="X206" s="5646"/>
      <c r="Y206" s="5646"/>
      <c r="Z206" s="5646"/>
      <c r="AA206" s="5646"/>
      <c r="AB206" s="5646"/>
      <c r="AC206" s="5646"/>
      <c r="AD206" s="5646"/>
      <c r="AE206" s="5646"/>
      <c r="AF206" s="5646"/>
      <c r="AG206" s="5646"/>
      <c r="AH206" s="5646"/>
      <c r="AI206" s="5647"/>
    </row>
    <row r="207" spans="1:63" s="1480" customFormat="1" ht="11.25" customHeight="1">
      <c r="D207" s="5643"/>
      <c r="E207" s="5316"/>
      <c r="F207" s="5316"/>
      <c r="G207" s="5250"/>
      <c r="H207" s="1496"/>
      <c r="I207" s="1497"/>
      <c r="J207" s="5646" t="s">
        <v>182</v>
      </c>
      <c r="K207" s="5646"/>
      <c r="L207" s="5646"/>
      <c r="M207" s="5646"/>
      <c r="N207" s="5646"/>
      <c r="O207" s="5646"/>
      <c r="P207" s="5646"/>
      <c r="Q207" s="5646"/>
      <c r="R207" s="5646"/>
      <c r="S207" s="5646"/>
      <c r="T207" s="5646"/>
      <c r="U207" s="5646"/>
      <c r="V207" s="5646"/>
      <c r="W207" s="5646"/>
      <c r="X207" s="5646"/>
      <c r="Y207" s="5646"/>
      <c r="Z207" s="5646"/>
      <c r="AA207" s="5646"/>
      <c r="AB207" s="5646"/>
      <c r="AC207" s="5646"/>
      <c r="AD207" s="5646"/>
      <c r="AE207" s="5646"/>
      <c r="AF207" s="5646"/>
      <c r="AG207" s="5646"/>
      <c r="AH207" s="5646"/>
      <c r="AI207" s="5647"/>
      <c r="BK207" s="1500"/>
    </row>
    <row r="208" spans="1:63" ht="17.25" customHeight="1">
      <c r="G208" s="1763"/>
      <c r="I208" s="1763"/>
      <c r="J208" s="1763"/>
      <c r="N208" s="1759"/>
    </row>
    <row r="209" spans="4:63" s="1774" customFormat="1" ht="15" customHeight="1">
      <c r="D209" s="5643"/>
      <c r="E209" s="5316"/>
      <c r="F209" s="5316"/>
      <c r="G209" s="5321"/>
      <c r="H209" s="1525"/>
      <c r="I209" s="5324"/>
      <c r="J209" s="5263"/>
      <c r="K209" s="1710"/>
      <c r="L209" s="5255"/>
      <c r="M209" s="5255"/>
      <c r="N209" s="1510"/>
      <c r="O209" s="5255"/>
      <c r="P209" s="5263"/>
      <c r="Q209" s="1714"/>
      <c r="R209" s="5255"/>
      <c r="S209" s="5255"/>
      <c r="T209" s="1781"/>
      <c r="U209" s="5255"/>
      <c r="V209" s="5263"/>
      <c r="W209" s="1513"/>
      <c r="X209" s="5255"/>
      <c r="Y209" s="5255"/>
      <c r="Z209" s="1510"/>
      <c r="AA209" s="5255"/>
      <c r="AB209" s="5263"/>
      <c r="AC209" s="1514"/>
      <c r="AD209" s="5255"/>
      <c r="AE209" s="5255"/>
      <c r="AF209" s="1708"/>
      <c r="AG209" s="1708"/>
      <c r="AH209" s="1515"/>
      <c r="AI209" s="1222"/>
    </row>
    <row r="210" spans="4:63" s="1774" customFormat="1" ht="15" customHeight="1">
      <c r="D210" s="5643"/>
      <c r="E210" s="5316"/>
      <c r="F210" s="5316"/>
      <c r="G210" s="5321"/>
      <c r="H210" s="1526"/>
      <c r="I210" s="5325"/>
      <c r="J210" s="5264"/>
      <c r="K210" s="1536"/>
      <c r="L210" s="5256"/>
      <c r="M210" s="5256"/>
      <c r="N210" s="1516"/>
      <c r="O210" s="5256"/>
      <c r="P210" s="5264"/>
      <c r="Q210" s="1715"/>
      <c r="R210" s="5256"/>
      <c r="S210" s="5256"/>
      <c r="T210" s="1782"/>
      <c r="U210" s="5256"/>
      <c r="V210" s="5264"/>
      <c r="W210" s="1519"/>
      <c r="X210" s="5256"/>
      <c r="Y210" s="5256"/>
      <c r="Z210" s="1516"/>
      <c r="AA210" s="5256"/>
      <c r="AB210" s="5264"/>
      <c r="AC210" s="1520"/>
      <c r="AD210" s="5256"/>
      <c r="AE210" s="5256"/>
      <c r="AF210" s="1713"/>
      <c r="AG210" s="1713"/>
      <c r="AH210" s="5328"/>
      <c r="AI210" s="5329"/>
    </row>
    <row r="211" spans="4:63" s="1774" customFormat="1" ht="15" customHeight="1">
      <c r="D211" s="5643"/>
      <c r="E211" s="5316"/>
      <c r="F211" s="5316"/>
      <c r="G211" s="5321"/>
      <c r="H211" s="1526"/>
      <c r="I211" s="5325"/>
      <c r="J211" s="5264"/>
      <c r="K211" s="1536"/>
      <c r="L211" s="5256"/>
      <c r="M211" s="5256"/>
      <c r="N211" s="1516"/>
      <c r="O211" s="5256"/>
      <c r="P211" s="5264"/>
      <c r="Q211" s="1715"/>
      <c r="R211" s="5256"/>
      <c r="S211" s="5256"/>
      <c r="T211" s="1782"/>
      <c r="U211" s="5256"/>
      <c r="V211" s="5264"/>
      <c r="W211" s="1519"/>
      <c r="X211" s="5256"/>
      <c r="Y211" s="5256"/>
      <c r="Z211" s="1711"/>
      <c r="AA211" s="1713"/>
      <c r="AB211" s="5328"/>
      <c r="AC211" s="5328"/>
      <c r="AD211" s="5328"/>
      <c r="AE211" s="5328"/>
      <c r="AF211" s="5328"/>
      <c r="AG211" s="5328"/>
      <c r="AH211" s="5328"/>
      <c r="AI211" s="5329"/>
    </row>
    <row r="212" spans="4:63" s="1774" customFormat="1" ht="15" customHeight="1">
      <c r="D212" s="5643"/>
      <c r="E212" s="5316"/>
      <c r="F212" s="5316"/>
      <c r="G212" s="5321"/>
      <c r="H212" s="1526"/>
      <c r="I212" s="5325"/>
      <c r="J212" s="5264"/>
      <c r="K212" s="1536"/>
      <c r="L212" s="5256"/>
      <c r="M212" s="5256"/>
      <c r="N212" s="1516"/>
      <c r="O212" s="5256"/>
      <c r="P212" s="5264"/>
      <c r="Q212" s="1715"/>
      <c r="R212" s="5256"/>
      <c r="S212" s="5256"/>
      <c r="T212" s="1783"/>
      <c r="U212" s="1523"/>
      <c r="V212" s="5328"/>
      <c r="W212" s="5328"/>
      <c r="X212" s="5328"/>
      <c r="Y212" s="5328"/>
      <c r="Z212" s="5328"/>
      <c r="AA212" s="5328"/>
      <c r="AB212" s="5328"/>
      <c r="AC212" s="5328"/>
      <c r="AD212" s="5328"/>
      <c r="AE212" s="5328"/>
      <c r="AF212" s="5328"/>
      <c r="AG212" s="5328"/>
      <c r="AH212" s="5328"/>
      <c r="AI212" s="5329"/>
    </row>
    <row r="213" spans="4:63" s="1774" customFormat="1" ht="11.25" customHeight="1">
      <c r="D213" s="5643"/>
      <c r="E213" s="5316"/>
      <c r="F213" s="5316"/>
      <c r="G213" s="5321"/>
      <c r="H213" s="1527"/>
      <c r="I213" s="5325"/>
      <c r="J213" s="5264"/>
      <c r="K213" s="1536"/>
      <c r="L213" s="5256"/>
      <c r="M213" s="5256"/>
      <c r="N213" s="1713"/>
      <c r="O213" s="1713"/>
      <c r="P213" s="5328"/>
      <c r="Q213" s="5328"/>
      <c r="R213" s="5328"/>
      <c r="S213" s="5328"/>
      <c r="T213" s="5328"/>
      <c r="U213" s="5328"/>
      <c r="V213" s="5328"/>
      <c r="W213" s="5328"/>
      <c r="X213" s="5328"/>
      <c r="Y213" s="5328"/>
      <c r="Z213" s="5328"/>
      <c r="AA213" s="5328"/>
      <c r="AB213" s="5328"/>
      <c r="AC213" s="5328"/>
      <c r="AD213" s="5328"/>
      <c r="AE213" s="5328"/>
      <c r="AF213" s="5328"/>
      <c r="AG213" s="5328"/>
      <c r="AH213" s="5328"/>
      <c r="AI213" s="5329"/>
    </row>
    <row r="214" spans="4:63" s="1480" customFormat="1" ht="11.25" customHeight="1">
      <c r="D214" s="5643"/>
      <c r="E214" s="5316"/>
      <c r="F214" s="5316"/>
      <c r="G214" s="5330"/>
      <c r="H214" s="1524"/>
      <c r="I214" s="1528"/>
      <c r="J214" s="5326"/>
      <c r="K214" s="5326"/>
      <c r="L214" s="5326"/>
      <c r="M214" s="5326"/>
      <c r="N214" s="5326"/>
      <c r="O214" s="5326"/>
      <c r="P214" s="5326"/>
      <c r="Q214" s="5326"/>
      <c r="R214" s="5326"/>
      <c r="S214" s="5326"/>
      <c r="T214" s="5326"/>
      <c r="U214" s="5326"/>
      <c r="V214" s="5326"/>
      <c r="W214" s="5326"/>
      <c r="X214" s="5326"/>
      <c r="Y214" s="5326"/>
      <c r="Z214" s="5326"/>
      <c r="AA214" s="5326"/>
      <c r="AB214" s="5326"/>
      <c r="AC214" s="5326"/>
      <c r="AD214" s="5326"/>
      <c r="AE214" s="5326"/>
      <c r="AF214" s="5326"/>
      <c r="AG214" s="5326"/>
      <c r="AH214" s="5326"/>
      <c r="AI214" s="5327"/>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1979</v>
      </c>
      <c r="B1" s="776"/>
      <c r="C1" s="911" t="s">
        <v>1980</v>
      </c>
      <c r="D1" s="909" t="s">
        <v>839</v>
      </c>
      <c r="E1" s="909" t="s">
        <v>885</v>
      </c>
      <c r="F1" s="909" t="s">
        <v>938</v>
      </c>
      <c r="G1" s="909" t="s">
        <v>925</v>
      </c>
      <c r="H1" s="909" t="s">
        <v>1651</v>
      </c>
    </row>
    <row r="2" spans="1:8" ht="9" customHeight="1">
      <c r="A2" s="912" t="s">
        <v>1981</v>
      </c>
      <c r="B2" s="912"/>
      <c r="C2" s="913" t="str">
        <f>INDEX(TEMPLATE_NUMBER_FORM_LIST,MATCH(TEMPLATE_SPHERE,TEMPLATE_SPHERE_LIST,0))</f>
        <v>16</v>
      </c>
      <c r="D2" s="912" t="s">
        <v>1501</v>
      </c>
      <c r="E2" s="912" t="s">
        <v>150</v>
      </c>
      <c r="F2" s="914" t="s">
        <v>150</v>
      </c>
      <c r="G2" s="912" t="s">
        <v>150</v>
      </c>
      <c r="H2" s="915"/>
    </row>
    <row r="3" spans="1:8" ht="63" customHeight="1">
      <c r="A3" s="776"/>
      <c r="B3" s="776" t="s">
        <v>111</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1982</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1983</v>
      </c>
      <c r="B4" s="776" t="s">
        <v>112</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1984</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1985</v>
      </c>
    </row>
    <row r="5" spans="1:8" ht="117" customHeight="1">
      <c r="A5" s="776" t="s">
        <v>1986</v>
      </c>
      <c r="B5" s="776" t="s">
        <v>92</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1987</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1988</v>
      </c>
    </row>
    <row r="6" spans="1:8" ht="90" customHeight="1">
      <c r="A6" s="776" t="s">
        <v>1989</v>
      </c>
      <c r="B6" s="776" t="s">
        <v>93</v>
      </c>
      <c r="C6" s="913"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1990</v>
      </c>
      <c r="B7" s="776" t="s">
        <v>113</v>
      </c>
      <c r="C7" s="913" t="str">
        <f>IF(TEMPLATE_SPHERE="HEAT",D7,E7)</f>
        <v>Форма 11. Информация о расходах на капитальный и текущий ремонт основных средств</v>
      </c>
      <c r="D7" s="776" t="s">
        <v>1991</v>
      </c>
      <c r="E7" s="776" t="s">
        <v>1992</v>
      </c>
      <c r="F7" s="915"/>
      <c r="G7" s="915"/>
      <c r="H7" s="915"/>
    </row>
    <row r="8" spans="1:8" ht="108" customHeight="1">
      <c r="A8" s="776" t="s">
        <v>1993</v>
      </c>
      <c r="B8" s="776" t="s">
        <v>94</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1196</v>
      </c>
      <c r="E8" s="776" t="s">
        <v>1994</v>
      </c>
      <c r="F8" s="915"/>
      <c r="G8" s="915"/>
      <c r="H8" s="915"/>
    </row>
    <row r="9" spans="1:8" ht="99" customHeight="1">
      <c r="A9" s="776" t="s">
        <v>1995</v>
      </c>
      <c r="B9" s="776"/>
      <c r="C9" s="776" t="s">
        <v>1996</v>
      </c>
      <c r="D9" s="776"/>
      <c r="E9" s="776"/>
      <c r="F9" s="915"/>
      <c r="G9" s="915"/>
      <c r="H9" s="915"/>
    </row>
    <row r="10" spans="1:8" ht="126" customHeight="1">
      <c r="A10" s="776" t="s">
        <v>1997</v>
      </c>
      <c r="B10" s="776"/>
      <c r="C10" s="776" t="s">
        <v>1998</v>
      </c>
      <c r="D10" s="776"/>
      <c r="E10" s="776"/>
      <c r="F10" s="915"/>
      <c r="G10" s="915"/>
      <c r="H10" s="915"/>
    </row>
    <row r="11" spans="1:8" ht="108" customHeight="1">
      <c r="A11" s="776" t="s">
        <v>1999</v>
      </c>
      <c r="B11" s="776"/>
      <c r="C11" s="776" t="s">
        <v>2000</v>
      </c>
      <c r="D11" s="776"/>
      <c r="E11" s="776"/>
      <c r="F11" s="915"/>
      <c r="G11" s="915"/>
      <c r="H11" s="915"/>
    </row>
    <row r="12" spans="1:8" ht="54" customHeight="1">
      <c r="A12" s="776" t="s">
        <v>2001</v>
      </c>
      <c r="B12" s="776"/>
      <c r="C12" s="776" t="s">
        <v>2002</v>
      </c>
      <c r="D12" s="776"/>
      <c r="E12" s="776"/>
      <c r="F12" s="915"/>
      <c r="G12" s="915"/>
      <c r="H12" s="915"/>
    </row>
    <row r="13" spans="1:8" ht="45" customHeight="1">
      <c r="A13" s="776" t="s">
        <v>2003</v>
      </c>
      <c r="B13" s="776"/>
      <c r="C13" s="776" t="s">
        <v>2004</v>
      </c>
      <c r="D13" s="776"/>
      <c r="E13" s="776"/>
      <c r="F13" s="915"/>
      <c r="G13" s="915"/>
      <c r="H13" s="915"/>
    </row>
    <row r="14" spans="1:8" ht="117" customHeight="1">
      <c r="A14" s="776" t="s">
        <v>2005</v>
      </c>
      <c r="B14" s="776"/>
      <c r="C14" s="776" t="s">
        <v>2006</v>
      </c>
      <c r="D14" s="776"/>
      <c r="E14" s="776"/>
      <c r="F14" s="915"/>
      <c r="G14" s="915"/>
      <c r="H14" s="915"/>
    </row>
    <row r="15" spans="1:8" ht="117" customHeight="1">
      <c r="A15" s="776" t="s">
        <v>2007</v>
      </c>
      <c r="B15" s="776"/>
      <c r="C15" s="776" t="s">
        <v>2008</v>
      </c>
      <c r="D15" s="776"/>
      <c r="E15" s="776"/>
      <c r="F15" s="915"/>
      <c r="G15" s="915"/>
      <c r="H15" s="915"/>
    </row>
    <row r="16" spans="1:8" ht="63" customHeight="1">
      <c r="A16" s="776" t="s">
        <v>2009</v>
      </c>
      <c r="B16" s="776"/>
      <c r="C16" s="776" t="s">
        <v>2010</v>
      </c>
      <c r="D16" s="776"/>
      <c r="E16" s="776"/>
      <c r="F16" s="915"/>
      <c r="G16" s="915"/>
      <c r="H16" s="915"/>
    </row>
    <row r="17" spans="1:8" ht="54" customHeight="1">
      <c r="A17" s="776" t="s">
        <v>2011</v>
      </c>
      <c r="B17" s="776"/>
      <c r="C17" s="913" t="s">
        <v>2012</v>
      </c>
      <c r="D17" s="776"/>
      <c r="E17" s="776"/>
      <c r="F17" s="915"/>
      <c r="G17" s="915"/>
      <c r="H17" s="915"/>
    </row>
    <row r="18" spans="1:8" ht="27" customHeight="1">
      <c r="A18" s="776" t="s">
        <v>2013</v>
      </c>
      <c r="B18" s="776"/>
      <c r="C18" s="913" t="s">
        <v>2014</v>
      </c>
      <c r="D18" s="776"/>
      <c r="E18" s="776"/>
      <c r="F18" s="915"/>
      <c r="G18" s="915"/>
      <c r="H18" s="915"/>
    </row>
    <row r="19" spans="1:8" ht="54" customHeight="1">
      <c r="A19" s="776" t="s">
        <v>2015</v>
      </c>
      <c r="B19" s="776"/>
      <c r="C19" s="913" t="s">
        <v>2016</v>
      </c>
      <c r="D19" s="776"/>
      <c r="E19" s="776"/>
      <c r="F19" s="915"/>
      <c r="G19" s="915"/>
      <c r="H19" s="915"/>
    </row>
    <row r="20" spans="1:8" ht="36" customHeight="1">
      <c r="A20" s="776" t="s">
        <v>2017</v>
      </c>
      <c r="B20" s="776"/>
      <c r="C20" s="913" t="s">
        <v>2018</v>
      </c>
      <c r="D20" s="776"/>
      <c r="E20" s="776"/>
      <c r="F20" s="915"/>
      <c r="G20" s="915"/>
      <c r="H20" s="915"/>
    </row>
    <row r="21" spans="1:8" ht="36" customHeight="1">
      <c r="A21" s="776" t="s">
        <v>2019</v>
      </c>
      <c r="B21" s="776"/>
      <c r="C21" s="913" t="s">
        <v>2020</v>
      </c>
      <c r="D21" s="776"/>
      <c r="E21" s="776"/>
      <c r="F21" s="915"/>
      <c r="G21" s="915"/>
      <c r="H21" s="915"/>
    </row>
    <row r="22" spans="1:8" ht="27" customHeight="1">
      <c r="A22" s="776" t="s">
        <v>2021</v>
      </c>
      <c r="B22" s="776"/>
      <c r="C22" s="913" t="s">
        <v>2022</v>
      </c>
      <c r="D22" s="776"/>
      <c r="E22" s="776"/>
      <c r="F22" s="915"/>
      <c r="G22" s="915"/>
      <c r="H22" s="915"/>
    </row>
    <row r="23" spans="1:8" ht="36" customHeight="1">
      <c r="A23" s="776" t="s">
        <v>2023</v>
      </c>
      <c r="B23" s="776"/>
      <c r="C23" s="913" t="s">
        <v>2024</v>
      </c>
      <c r="D23" s="776"/>
      <c r="E23" s="776"/>
      <c r="F23" s="915"/>
      <c r="G23" s="915"/>
      <c r="H23" s="915"/>
    </row>
    <row r="24" spans="1:8" ht="28.5" customHeight="1">
      <c r="A24" s="776" t="s">
        <v>2025</v>
      </c>
      <c r="B24" s="776"/>
      <c r="C24" s="913" t="s">
        <v>2026</v>
      </c>
      <c r="D24" s="776"/>
      <c r="E24" s="776"/>
      <c r="F24" s="915"/>
      <c r="G24" s="915"/>
      <c r="H24" s="915"/>
    </row>
    <row r="25" spans="1:8" ht="36" customHeight="1">
      <c r="A25" s="776" t="s">
        <v>2027</v>
      </c>
      <c r="B25" s="776"/>
      <c r="C25" s="913" t="s">
        <v>2028</v>
      </c>
      <c r="D25" s="776"/>
      <c r="E25" s="776"/>
      <c r="F25" s="915"/>
      <c r="G25" s="915"/>
      <c r="H25" s="915"/>
    </row>
    <row r="26" spans="1:8" ht="27" customHeight="1">
      <c r="A26" s="776" t="s">
        <v>2029</v>
      </c>
      <c r="B26" s="776"/>
      <c r="C26" s="913" t="s">
        <v>2030</v>
      </c>
      <c r="D26" s="776"/>
      <c r="E26" s="776"/>
      <c r="F26" s="915"/>
      <c r="G26" s="915"/>
      <c r="H26" s="915"/>
    </row>
    <row r="27" spans="1:8" ht="36" customHeight="1">
      <c r="A27" s="776" t="s">
        <v>2031</v>
      </c>
      <c r="B27" s="776"/>
      <c r="C27" s="913" t="s">
        <v>2032</v>
      </c>
      <c r="D27" s="776"/>
      <c r="E27" s="776"/>
      <c r="F27" s="915"/>
      <c r="G27" s="915"/>
      <c r="H27" s="915"/>
    </row>
    <row r="28" spans="1:8" ht="28.5" customHeight="1">
      <c r="A28" s="776" t="s">
        <v>2033</v>
      </c>
      <c r="B28" s="776"/>
      <c r="C28" s="913" t="s">
        <v>2034</v>
      </c>
      <c r="D28" s="776"/>
      <c r="E28" s="776"/>
      <c r="F28" s="915"/>
      <c r="G28" s="915"/>
      <c r="H28" s="915"/>
    </row>
    <row r="29" spans="1:8" ht="126" customHeight="1">
      <c r="A29" s="776" t="s">
        <v>2035</v>
      </c>
      <c r="B29" s="776" t="s">
        <v>1603</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2036</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2037</v>
      </c>
    </row>
    <row r="30" spans="1:8" ht="36" customHeight="1">
      <c r="A30" s="776" t="s">
        <v>2038</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2039</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2040</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2041</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2042</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2043</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2044</v>
      </c>
    </row>
    <row r="33" spans="1:8" ht="9" customHeight="1">
      <c r="A33" s="776"/>
      <c r="B33" s="776"/>
      <c r="C33" s="913"/>
      <c r="D33" s="776"/>
      <c r="E33" s="776"/>
      <c r="F33" s="915"/>
      <c r="G33" s="915"/>
      <c r="H33" s="915"/>
    </row>
    <row r="34" spans="1:8" ht="9" customHeight="1">
      <c r="A34" s="776"/>
      <c r="B34" s="776" t="s">
        <v>1539</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2045</v>
      </c>
      <c r="D1" s="827"/>
      <c r="E1" s="827"/>
      <c r="F1" s="827"/>
      <c r="G1" s="827"/>
      <c r="H1" s="827" t="s">
        <v>2046</v>
      </c>
      <c r="I1" s="827"/>
      <c r="J1" s="827"/>
      <c r="K1" s="827"/>
      <c r="L1" s="827"/>
      <c r="M1" s="827" t="s">
        <v>2047</v>
      </c>
      <c r="N1" s="827" t="s">
        <v>2048</v>
      </c>
      <c r="O1" s="5656" t="s">
        <v>2049</v>
      </c>
      <c r="P1" s="5656"/>
      <c r="Q1" s="5656"/>
      <c r="R1" s="5656"/>
      <c r="S1" s="5656"/>
      <c r="T1" s="5656" t="s">
        <v>2047</v>
      </c>
      <c r="U1" s="5656"/>
      <c r="V1" s="5656"/>
      <c r="W1" s="5656"/>
      <c r="X1" s="5656"/>
      <c r="Y1" s="928"/>
      <c r="Z1" s="5656" t="s">
        <v>2050</v>
      </c>
      <c r="AA1" s="5656"/>
      <c r="AB1" s="5656"/>
      <c r="AC1" s="5656"/>
      <c r="AD1" s="5656"/>
    </row>
    <row r="2" spans="1:34" ht="18" customHeight="1">
      <c r="A2" s="776"/>
      <c r="B2" s="776"/>
      <c r="C2" s="771" t="s">
        <v>839</v>
      </c>
      <c r="D2" s="771" t="s">
        <v>885</v>
      </c>
      <c r="E2" s="771" t="s">
        <v>938</v>
      </c>
      <c r="F2" s="771" t="s">
        <v>925</v>
      </c>
      <c r="G2" s="771" t="s">
        <v>1651</v>
      </c>
      <c r="H2" s="773"/>
      <c r="I2" s="773"/>
      <c r="J2" s="773"/>
      <c r="K2" s="773"/>
      <c r="L2" s="773"/>
      <c r="M2" s="773"/>
      <c r="N2" s="773"/>
      <c r="O2" s="771" t="s">
        <v>839</v>
      </c>
      <c r="P2" s="771" t="s">
        <v>885</v>
      </c>
      <c r="Q2" s="771" t="s">
        <v>925</v>
      </c>
      <c r="R2" s="771" t="s">
        <v>938</v>
      </c>
      <c r="S2" s="771" t="s">
        <v>1651</v>
      </c>
      <c r="T2" s="771" t="s">
        <v>839</v>
      </c>
      <c r="U2" s="771" t="s">
        <v>885</v>
      </c>
      <c r="V2" s="771" t="s">
        <v>925</v>
      </c>
      <c r="W2" s="771" t="s">
        <v>938</v>
      </c>
      <c r="X2" s="771" t="s">
        <v>1651</v>
      </c>
      <c r="Y2" s="771"/>
      <c r="Z2" s="771" t="s">
        <v>839</v>
      </c>
      <c r="AA2" s="780" t="s">
        <v>885</v>
      </c>
      <c r="AB2" s="771" t="s">
        <v>925</v>
      </c>
      <c r="AC2" s="771" t="s">
        <v>938</v>
      </c>
      <c r="AD2" s="771" t="s">
        <v>1651</v>
      </c>
    </row>
    <row r="3" spans="1:34" ht="162" customHeight="1">
      <c r="A3" s="775" t="s">
        <v>26</v>
      </c>
      <c r="B3" s="775"/>
      <c r="C3" s="5660" t="s">
        <v>2051</v>
      </c>
      <c r="D3" s="5661"/>
      <c r="E3" s="5661"/>
      <c r="F3" s="5662"/>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2052</v>
      </c>
      <c r="AA3" s="773" t="s">
        <v>2053</v>
      </c>
      <c r="AB3" s="776" t="s">
        <v>2054</v>
      </c>
      <c r="AC3" s="776" t="s">
        <v>2055</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5657" t="s">
        <v>33</v>
      </c>
      <c r="B11" s="828">
        <v>1</v>
      </c>
      <c r="C11" s="5663" t="s">
        <v>1590</v>
      </c>
      <c r="D11" s="5663" t="s">
        <v>1586</v>
      </c>
      <c r="E11" s="5663" t="s">
        <v>1684</v>
      </c>
      <c r="F11" s="5663" t="s">
        <v>2056</v>
      </c>
      <c r="G11" s="5663"/>
      <c r="H11" s="827" t="s">
        <v>2057</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2058</v>
      </c>
      <c r="U11" s="773" t="s">
        <v>2059</v>
      </c>
      <c r="V11" s="773"/>
      <c r="W11" s="773"/>
      <c r="X11" s="773"/>
      <c r="Y11" s="929"/>
      <c r="Z11" s="776" t="s">
        <v>2060</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5657"/>
      <c r="B12" s="828">
        <v>2</v>
      </c>
      <c r="C12" s="5664"/>
      <c r="D12" s="5664"/>
      <c r="E12" s="5664"/>
      <c r="F12" s="5664"/>
      <c r="G12" s="5664"/>
      <c r="H12" s="827" t="s">
        <v>2061</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2062</v>
      </c>
      <c r="U12" s="773" t="s">
        <v>2063</v>
      </c>
      <c r="V12" s="773"/>
      <c r="W12" s="773"/>
      <c r="X12" s="773"/>
      <c r="Y12" s="929"/>
      <c r="Z12" s="776" t="s">
        <v>2064</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5657"/>
      <c r="B13" s="828">
        <v>3</v>
      </c>
      <c r="C13" s="5664"/>
      <c r="D13" s="5664"/>
      <c r="E13" s="5664"/>
      <c r="F13" s="5664"/>
      <c r="G13" s="5664"/>
      <c r="H13" s="5656" t="s">
        <v>2065</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2066</v>
      </c>
      <c r="U13" s="774" t="s">
        <v>2067</v>
      </c>
      <c r="V13" s="774"/>
      <c r="W13" s="774"/>
      <c r="X13" s="773"/>
      <c r="Y13" s="929"/>
      <c r="Z13" s="776" t="s">
        <v>2068</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5657"/>
      <c r="B14" s="828">
        <v>4</v>
      </c>
      <c r="C14" s="5664"/>
      <c r="D14" s="5664"/>
      <c r="E14" s="5664"/>
      <c r="F14" s="5664"/>
      <c r="G14" s="5664"/>
      <c r="H14" s="5656"/>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2069</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2070</v>
      </c>
      <c r="AA14" s="779" t="s">
        <v>2070</v>
      </c>
      <c r="AB14" s="776"/>
      <c r="AC14" s="776"/>
      <c r="AD14" s="776"/>
    </row>
    <row r="15" spans="1:34" ht="108" customHeight="1">
      <c r="A15" s="5657"/>
      <c r="B15" s="828">
        <v>5</v>
      </c>
      <c r="C15" s="5664"/>
      <c r="D15" s="5664"/>
      <c r="E15" s="5664"/>
      <c r="F15" s="5664"/>
      <c r="G15" s="5664"/>
      <c r="H15" s="5658" t="s">
        <v>2071</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2072</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2073</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5665"/>
      <c r="D16" s="5665"/>
      <c r="E16" s="5665"/>
      <c r="F16" s="5665"/>
      <c r="G16" s="5665"/>
      <c r="H16" s="5659"/>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2073</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1687</v>
      </c>
      <c r="B18" s="828">
        <v>1</v>
      </c>
      <c r="C18" s="773" t="s">
        <v>2057</v>
      </c>
      <c r="D18" s="896" t="s">
        <v>2057</v>
      </c>
      <c r="E18" s="773" t="s">
        <v>2057</v>
      </c>
      <c r="F18" s="773" t="s">
        <v>2057</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2074</v>
      </c>
      <c r="U18" s="776" t="s">
        <v>2075</v>
      </c>
      <c r="V18" s="776" t="s">
        <v>2076</v>
      </c>
      <c r="W18" s="776" t="s">
        <v>2077</v>
      </c>
      <c r="X18" s="773"/>
      <c r="Y18" s="929"/>
      <c r="Z18" s="776" t="s">
        <v>2078</v>
      </c>
      <c r="AA18" s="779" t="s">
        <v>2079</v>
      </c>
      <c r="AB18" s="779" t="s">
        <v>2079</v>
      </c>
      <c r="AC18" s="779" t="s">
        <v>2079</v>
      </c>
      <c r="AD18" s="776"/>
    </row>
    <row r="19" spans="1:30" ht="36" customHeight="1">
      <c r="A19" s="775"/>
      <c r="B19" s="828">
        <v>2</v>
      </c>
      <c r="C19" s="773" t="s">
        <v>2061</v>
      </c>
      <c r="D19" s="896" t="s">
        <v>2061</v>
      </c>
      <c r="E19" s="773" t="s">
        <v>2061</v>
      </c>
      <c r="F19" s="773" t="s">
        <v>2061</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2080</v>
      </c>
      <c r="U19" s="776" t="s">
        <v>2081</v>
      </c>
      <c r="V19" s="776" t="s">
        <v>2082</v>
      </c>
      <c r="W19" s="776" t="s">
        <v>2083</v>
      </c>
      <c r="X19" s="773"/>
      <c r="Y19" s="929"/>
      <c r="Z19" s="776" t="s">
        <v>2084</v>
      </c>
      <c r="AA19" s="779" t="s">
        <v>2084</v>
      </c>
      <c r="AB19" s="779" t="s">
        <v>2084</v>
      </c>
      <c r="AC19" s="779" t="s">
        <v>2084</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740</v>
      </c>
      <c r="P20" s="886" t="s">
        <v>740</v>
      </c>
      <c r="Q20" s="886" t="s">
        <v>740</v>
      </c>
      <c r="R20" s="886" t="s">
        <v>740</v>
      </c>
      <c r="S20" s="886"/>
      <c r="T20" s="893" t="s">
        <v>2085</v>
      </c>
      <c r="U20" s="776" t="s">
        <v>2086</v>
      </c>
      <c r="V20" s="776" t="s">
        <v>2087</v>
      </c>
      <c r="W20" s="776" t="s">
        <v>2088</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334</v>
      </c>
      <c r="P21" s="886"/>
      <c r="Q21" s="886"/>
      <c r="R21" s="886"/>
      <c r="S21" s="886"/>
      <c r="T21" s="893" t="s">
        <v>2089</v>
      </c>
      <c r="U21" s="776"/>
      <c r="V21" s="776"/>
      <c r="W21" s="776"/>
      <c r="X21" s="773"/>
      <c r="Y21" s="929"/>
      <c r="Z21" s="776" t="s">
        <v>2090</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334</v>
      </c>
      <c r="R22" s="886"/>
      <c r="S22" s="886"/>
      <c r="T22" s="893"/>
      <c r="U22" s="776"/>
      <c r="V22" s="776" t="s">
        <v>2091</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337</v>
      </c>
      <c r="R23" s="886"/>
      <c r="S23" s="886"/>
      <c r="T23" s="893"/>
      <c r="U23" s="776"/>
      <c r="V23" s="776" t="s">
        <v>2092</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760</v>
      </c>
      <c r="R24" s="886"/>
      <c r="S24" s="886"/>
      <c r="T24" s="893"/>
      <c r="U24" s="776"/>
      <c r="V24" s="776" t="s">
        <v>2093</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337</v>
      </c>
      <c r="P25" s="886" t="s">
        <v>334</v>
      </c>
      <c r="Q25" s="886" t="s">
        <v>767</v>
      </c>
      <c r="R25" s="886" t="s">
        <v>334</v>
      </c>
      <c r="S25" s="886"/>
      <c r="T25" s="893" t="s">
        <v>2094</v>
      </c>
      <c r="U25" s="776" t="s">
        <v>2094</v>
      </c>
      <c r="V25" s="776" t="s">
        <v>2094</v>
      </c>
      <c r="W25" s="776" t="s">
        <v>2094</v>
      </c>
      <c r="X25" s="773"/>
      <c r="Y25" s="929"/>
      <c r="Z25" s="776"/>
      <c r="AA25" s="779"/>
      <c r="AB25" s="776"/>
      <c r="AC25" s="776"/>
      <c r="AD25" s="776"/>
    </row>
    <row r="26" spans="1:30" ht="18" customHeight="1">
      <c r="A26" s="775"/>
      <c r="B26" s="828">
        <v>9</v>
      </c>
      <c r="C26" s="773" t="s">
        <v>684</v>
      </c>
      <c r="D26" s="896"/>
      <c r="E26" s="773"/>
      <c r="F26" s="773"/>
      <c r="G26" s="820"/>
      <c r="H26" s="887"/>
      <c r="I26" s="934" t="str">
        <f t="shared" si="1"/>
        <v>2.3.1</v>
      </c>
      <c r="J26" s="934" t="str">
        <f t="shared" si="2"/>
        <v>Средневзвешенная стоимость 1 кВт.ч</v>
      </c>
      <c r="K26" s="934">
        <f t="shared" si="3"/>
        <v>0</v>
      </c>
      <c r="L26" s="774" t="str">
        <f t="shared" si="4"/>
        <v>2.3.1</v>
      </c>
      <c r="M26" s="774" t="str">
        <f t="shared" si="5"/>
        <v>Средневзвешенная стоимость 1 кВт.ч</v>
      </c>
      <c r="N26" s="774" t="str">
        <f t="shared" si="6"/>
        <v/>
      </c>
      <c r="O26" s="886" t="s">
        <v>756</v>
      </c>
      <c r="P26" s="886" t="s">
        <v>750</v>
      </c>
      <c r="Q26" s="886" t="s">
        <v>2095</v>
      </c>
      <c r="R26" s="886" t="s">
        <v>750</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2096</v>
      </c>
      <c r="V26" s="893" t="s">
        <v>2096</v>
      </c>
      <c r="W26" s="893" t="s">
        <v>2096</v>
      </c>
      <c r="X26" s="773"/>
      <c r="Y26" s="929"/>
      <c r="Z26" s="776"/>
      <c r="AA26" s="779"/>
      <c r="AB26" s="776"/>
      <c r="AC26" s="776"/>
      <c r="AD26" s="776"/>
    </row>
    <row r="27" spans="1:30" ht="18" customHeight="1">
      <c r="A27" s="775"/>
      <c r="B27" s="828">
        <v>10</v>
      </c>
      <c r="C27" s="773" t="s">
        <v>688</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758</v>
      </c>
      <c r="P27" s="886" t="s">
        <v>752</v>
      </c>
      <c r="Q27" s="886" t="s">
        <v>2097</v>
      </c>
      <c r="R27" s="886" t="s">
        <v>752</v>
      </c>
      <c r="S27" s="886"/>
      <c r="T27" s="893" t="s">
        <v>2098</v>
      </c>
      <c r="U27" s="893" t="s">
        <v>2098</v>
      </c>
      <c r="V27" s="893" t="s">
        <v>2098</v>
      </c>
      <c r="W27" s="893" t="s">
        <v>2098</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760</v>
      </c>
      <c r="P28" s="886"/>
      <c r="Q28" s="886"/>
      <c r="R28" s="886"/>
      <c r="S28" s="886"/>
      <c r="T28" s="893" t="s">
        <v>2099</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 реагенты, используемые в технологическом процессе</v>
      </c>
      <c r="K29" s="934">
        <f t="shared" si="3"/>
        <v>0</v>
      </c>
      <c r="L29" s="774" t="str">
        <f t="shared" si="4"/>
        <v>2.5</v>
      </c>
      <c r="M29" s="774" t="str">
        <f t="shared" si="5"/>
        <v>Расходы на  хим. реагенты, используемые в технологическом процессе</v>
      </c>
      <c r="N29" s="774" t="str">
        <f t="shared" si="6"/>
        <v/>
      </c>
      <c r="O29" s="886" t="s">
        <v>767</v>
      </c>
      <c r="P29" s="886" t="s">
        <v>337</v>
      </c>
      <c r="Q29" s="886"/>
      <c r="R29" s="886" t="s">
        <v>337</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2100</v>
      </c>
      <c r="V29" s="776"/>
      <c r="W29" s="776" t="s">
        <v>2100</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769</v>
      </c>
      <c r="P30" s="886" t="s">
        <v>760</v>
      </c>
      <c r="Q30" s="886" t="s">
        <v>769</v>
      </c>
      <c r="R30" s="886" t="s">
        <v>760</v>
      </c>
      <c r="S30" s="886"/>
      <c r="T30" s="893" t="s">
        <v>2101</v>
      </c>
      <c r="U30" s="776" t="s">
        <v>2101</v>
      </c>
      <c r="V30" s="776" t="s">
        <v>2101</v>
      </c>
      <c r="W30" s="776" t="s">
        <v>2101</v>
      </c>
      <c r="X30" s="773"/>
      <c r="Y30" s="929"/>
      <c r="Z30" s="776"/>
      <c r="AA30" s="779" t="s">
        <v>2102</v>
      </c>
      <c r="AB30" s="779" t="s">
        <v>2102</v>
      </c>
      <c r="AC30" s="779" t="s">
        <v>2102</v>
      </c>
      <c r="AD30" s="776"/>
    </row>
    <row r="31" spans="1:30" ht="18" customHeight="1">
      <c r="A31" s="775"/>
      <c r="B31" s="828">
        <v>14</v>
      </c>
      <c r="C31" s="773" t="s">
        <v>2103</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2104</v>
      </c>
      <c r="P31" s="886" t="s">
        <v>763</v>
      </c>
      <c r="Q31" s="886" t="s">
        <v>2104</v>
      </c>
      <c r="R31" s="886" t="s">
        <v>763</v>
      </c>
      <c r="S31" s="886"/>
      <c r="T31" s="894" t="s">
        <v>2105</v>
      </c>
      <c r="U31" s="776" t="s">
        <v>2105</v>
      </c>
      <c r="V31" s="776" t="s">
        <v>2105</v>
      </c>
      <c r="W31" s="776" t="s">
        <v>2105</v>
      </c>
      <c r="X31" s="773"/>
      <c r="Y31" s="929"/>
      <c r="Z31" s="776"/>
      <c r="AA31" s="779"/>
      <c r="AB31" s="779"/>
      <c r="AC31" s="779"/>
      <c r="AD31" s="776"/>
    </row>
    <row r="32" spans="1:30" ht="36" customHeight="1">
      <c r="A32" s="775"/>
      <c r="B32" s="828">
        <v>15</v>
      </c>
      <c r="C32" s="773" t="s">
        <v>2106</v>
      </c>
      <c r="D32" s="896"/>
      <c r="E32" s="773"/>
      <c r="F32" s="773"/>
      <c r="G32" s="820"/>
      <c r="H32" s="887"/>
      <c r="I32" s="934" t="str">
        <f t="shared" si="1"/>
        <v>2.6.2</v>
      </c>
      <c r="J32" s="934"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2107</v>
      </c>
      <c r="P32" s="886" t="s">
        <v>765</v>
      </c>
      <c r="Q32" s="886" t="s">
        <v>2107</v>
      </c>
      <c r="R32" s="886" t="s">
        <v>765</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2108</v>
      </c>
      <c r="V32" s="776" t="s">
        <v>2108</v>
      </c>
      <c r="W32" s="776" t="s">
        <v>2108</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4" t="str">
        <f t="shared" si="6"/>
        <v/>
      </c>
      <c r="O33" s="886" t="s">
        <v>771</v>
      </c>
      <c r="P33" s="886" t="s">
        <v>767</v>
      </c>
      <c r="Q33" s="886" t="s">
        <v>771</v>
      </c>
      <c r="R33" s="886" t="s">
        <v>767</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2109</v>
      </c>
      <c r="V33" s="776" t="s">
        <v>2109</v>
      </c>
      <c r="W33" s="776" t="s">
        <v>2110</v>
      </c>
      <c r="X33" s="773"/>
      <c r="Y33" s="929"/>
      <c r="Z33" s="776"/>
      <c r="AA33" s="779" t="s">
        <v>2111</v>
      </c>
      <c r="AB33" s="779" t="s">
        <v>2111</v>
      </c>
      <c r="AC33" s="779" t="s">
        <v>2111</v>
      </c>
      <c r="AD33" s="776"/>
    </row>
    <row r="34" spans="1:30" ht="27" customHeight="1">
      <c r="A34" s="775"/>
      <c r="B34" s="828">
        <v>17</v>
      </c>
      <c r="C34" s="773" t="s">
        <v>2112</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2113</v>
      </c>
      <c r="P34" s="886" t="s">
        <v>2095</v>
      </c>
      <c r="Q34" s="886" t="s">
        <v>2113</v>
      </c>
      <c r="R34" s="886" t="s">
        <v>2095</v>
      </c>
      <c r="S34" s="886"/>
      <c r="T34" s="895" t="s">
        <v>2114</v>
      </c>
      <c r="U34" s="776" t="s">
        <v>2114</v>
      </c>
      <c r="V34" s="776" t="s">
        <v>2114</v>
      </c>
      <c r="W34" s="776" t="s">
        <v>2115</v>
      </c>
      <c r="X34" s="773"/>
      <c r="Y34" s="929"/>
      <c r="Z34" s="776"/>
      <c r="AA34" s="779"/>
      <c r="AB34" s="776"/>
      <c r="AC34" s="776"/>
      <c r="AD34" s="776"/>
    </row>
    <row r="35" spans="1:30" ht="45" customHeight="1">
      <c r="A35" s="775"/>
      <c r="B35" s="828">
        <v>18</v>
      </c>
      <c r="C35" s="773" t="s">
        <v>2116</v>
      </c>
      <c r="D35" s="896"/>
      <c r="E35" s="773"/>
      <c r="F35" s="773"/>
      <c r="G35" s="820"/>
      <c r="H35" s="887"/>
      <c r="I35" s="934" t="str">
        <f t="shared" si="1"/>
        <v>2.7.2</v>
      </c>
      <c r="J35" s="934"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2117</v>
      </c>
      <c r="P35" s="886" t="s">
        <v>2097</v>
      </c>
      <c r="Q35" s="886" t="s">
        <v>2117</v>
      </c>
      <c r="R35" s="886" t="s">
        <v>2097</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2118</v>
      </c>
      <c r="V35" s="776" t="s">
        <v>2118</v>
      </c>
      <c r="W35" s="776" t="s">
        <v>2118</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773</v>
      </c>
      <c r="P36" s="886" t="s">
        <v>769</v>
      </c>
      <c r="Q36" s="886" t="s">
        <v>773</v>
      </c>
      <c r="R36" s="886" t="s">
        <v>769</v>
      </c>
      <c r="S36" s="886"/>
      <c r="T36" s="893" t="s">
        <v>2119</v>
      </c>
      <c r="U36" s="776" t="s">
        <v>2119</v>
      </c>
      <c r="V36" s="776" t="s">
        <v>2119</v>
      </c>
      <c r="W36" s="776" t="s">
        <v>2119</v>
      </c>
      <c r="X36" s="773"/>
      <c r="Y36" s="929"/>
      <c r="Z36" s="776"/>
      <c r="AA36" s="779"/>
      <c r="AB36" s="776"/>
      <c r="AC36" s="776"/>
      <c r="AD36" s="776"/>
    </row>
    <row r="37" spans="1:30" ht="18" customHeight="1">
      <c r="A37" s="775"/>
      <c r="B37" s="828">
        <v>20</v>
      </c>
      <c r="C37" s="773" t="s">
        <v>2120</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2121</v>
      </c>
      <c r="P37" s="886" t="s">
        <v>2104</v>
      </c>
      <c r="Q37" s="886" t="s">
        <v>2121</v>
      </c>
      <c r="R37" s="886" t="s">
        <v>2104</v>
      </c>
      <c r="S37" s="886"/>
      <c r="T37" s="893" t="s">
        <v>2122</v>
      </c>
      <c r="U37" s="776" t="s">
        <v>2122</v>
      </c>
      <c r="V37" s="776" t="s">
        <v>2122</v>
      </c>
      <c r="W37" s="776" t="s">
        <v>2122</v>
      </c>
      <c r="X37" s="773"/>
      <c r="Y37" s="929"/>
      <c r="Z37" s="776"/>
      <c r="AA37" s="779"/>
      <c r="AB37" s="776"/>
      <c r="AC37" s="776"/>
      <c r="AD37" s="776"/>
    </row>
    <row r="38" spans="1:30" ht="18" customHeight="1">
      <c r="A38" s="775"/>
      <c r="B38" s="828">
        <v>21</v>
      </c>
      <c r="C38" s="773" t="s">
        <v>2123</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2124</v>
      </c>
      <c r="P38" s="886" t="s">
        <v>2107</v>
      </c>
      <c r="Q38" s="886" t="s">
        <v>2124</v>
      </c>
      <c r="R38" s="886" t="s">
        <v>2107</v>
      </c>
      <c r="S38" s="886"/>
      <c r="T38" s="893" t="s">
        <v>2125</v>
      </c>
      <c r="U38" s="776" t="s">
        <v>2125</v>
      </c>
      <c r="V38" s="776" t="s">
        <v>2125</v>
      </c>
      <c r="W38" s="776" t="s">
        <v>2125</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777</v>
      </c>
      <c r="P39" s="886" t="s">
        <v>771</v>
      </c>
      <c r="Q39" s="886" t="s">
        <v>777</v>
      </c>
      <c r="R39" s="886" t="s">
        <v>771</v>
      </c>
      <c r="S39" s="886"/>
      <c r="T39" s="893" t="s">
        <v>2126</v>
      </c>
      <c r="U39" s="776" t="s">
        <v>2127</v>
      </c>
      <c r="V39" s="776" t="s">
        <v>2128</v>
      </c>
      <c r="W39" s="776" t="s">
        <v>2129</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2130</v>
      </c>
      <c r="P40" s="886" t="s">
        <v>773</v>
      </c>
      <c r="Q40" s="886" t="s">
        <v>2130</v>
      </c>
      <c r="R40" s="886" t="s">
        <v>773</v>
      </c>
      <c r="S40" s="886"/>
      <c r="T40" s="773" t="s">
        <v>2131</v>
      </c>
      <c r="U40" s="773" t="s">
        <v>2131</v>
      </c>
      <c r="V40" s="773" t="s">
        <v>2131</v>
      </c>
      <c r="W40" s="773" t="s">
        <v>2131</v>
      </c>
      <c r="X40" s="773"/>
      <c r="Y40" s="929"/>
      <c r="Z40" s="776" t="s">
        <v>2132</v>
      </c>
      <c r="AA40" s="779" t="s">
        <v>2132</v>
      </c>
      <c r="AB40" s="779" t="s">
        <v>2132</v>
      </c>
      <c r="AC40" s="779" t="s">
        <v>2132</v>
      </c>
      <c r="AD40" s="776"/>
    </row>
    <row r="41" spans="1:30" ht="27" customHeight="1">
      <c r="A41" s="775"/>
      <c r="B41" s="828">
        <v>24</v>
      </c>
      <c r="C41" s="773" t="s">
        <v>2133</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2134</v>
      </c>
      <c r="P41" s="886" t="s">
        <v>2121</v>
      </c>
      <c r="Q41" s="886" t="s">
        <v>2134</v>
      </c>
      <c r="R41" s="886" t="s">
        <v>2121</v>
      </c>
      <c r="S41" s="886"/>
      <c r="T41" s="773" t="s">
        <v>2135</v>
      </c>
      <c r="U41" s="773" t="s">
        <v>2135</v>
      </c>
      <c r="V41" s="773" t="s">
        <v>2135</v>
      </c>
      <c r="W41" s="773" t="s">
        <v>2135</v>
      </c>
      <c r="X41" s="773"/>
      <c r="Y41" s="929"/>
      <c r="Z41" s="776" t="s">
        <v>2136</v>
      </c>
      <c r="AA41" s="776" t="s">
        <v>2136</v>
      </c>
      <c r="AB41" s="776" t="s">
        <v>2136</v>
      </c>
      <c r="AC41" s="776" t="s">
        <v>2136</v>
      </c>
      <c r="AD41" s="776"/>
    </row>
    <row r="42" spans="1:30" ht="27" customHeight="1">
      <c r="A42" s="775"/>
      <c r="B42" s="828">
        <v>25</v>
      </c>
      <c r="C42" s="773" t="s">
        <v>2137</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2138</v>
      </c>
      <c r="P42" s="886" t="s">
        <v>2124</v>
      </c>
      <c r="Q42" s="886" t="s">
        <v>2138</v>
      </c>
      <c r="R42" s="886" t="s">
        <v>2124</v>
      </c>
      <c r="S42" s="886"/>
      <c r="T42" s="773" t="s">
        <v>2139</v>
      </c>
      <c r="U42" s="773" t="s">
        <v>2139</v>
      </c>
      <c r="V42" s="773" t="s">
        <v>2139</v>
      </c>
      <c r="W42" s="773" t="s">
        <v>2139</v>
      </c>
      <c r="X42" s="773"/>
      <c r="Y42" s="929"/>
      <c r="Z42" s="776" t="s">
        <v>2140</v>
      </c>
      <c r="AA42" s="776" t="s">
        <v>2140</v>
      </c>
      <c r="AB42" s="776" t="s">
        <v>2140</v>
      </c>
      <c r="AC42" s="776" t="s">
        <v>2140</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2141</v>
      </c>
      <c r="P43" s="886" t="s">
        <v>777</v>
      </c>
      <c r="Q43" s="886" t="s">
        <v>2141</v>
      </c>
      <c r="R43" s="886" t="s">
        <v>777</v>
      </c>
      <c r="S43" s="886"/>
      <c r="T43" s="773" t="s">
        <v>2142</v>
      </c>
      <c r="U43" s="773" t="s">
        <v>2142</v>
      </c>
      <c r="V43" s="773" t="s">
        <v>2142</v>
      </c>
      <c r="W43" s="773" t="s">
        <v>2142</v>
      </c>
      <c r="X43" s="773"/>
      <c r="Y43" s="929"/>
      <c r="Z43" s="776" t="s">
        <v>2143</v>
      </c>
      <c r="AA43" s="776" t="s">
        <v>2143</v>
      </c>
      <c r="AB43" s="776" t="s">
        <v>2143</v>
      </c>
      <c r="AC43" s="776" t="s">
        <v>2143</v>
      </c>
      <c r="AD43" s="776"/>
    </row>
    <row r="44" spans="1:30" ht="27" customHeight="1">
      <c r="A44" s="775"/>
      <c r="B44" s="828">
        <v>27</v>
      </c>
      <c r="C44" s="773" t="s">
        <v>2144</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2145</v>
      </c>
      <c r="P44" s="886" t="s">
        <v>2146</v>
      </c>
      <c r="Q44" s="886" t="s">
        <v>2145</v>
      </c>
      <c r="R44" s="886" t="s">
        <v>2146</v>
      </c>
      <c r="S44" s="886"/>
      <c r="T44" s="773" t="s">
        <v>2135</v>
      </c>
      <c r="U44" s="773" t="s">
        <v>2135</v>
      </c>
      <c r="V44" s="773" t="s">
        <v>2135</v>
      </c>
      <c r="W44" s="773" t="s">
        <v>2135</v>
      </c>
      <c r="X44" s="773"/>
      <c r="Y44" s="929"/>
      <c r="Z44" s="776" t="s">
        <v>2147</v>
      </c>
      <c r="AA44" s="776" t="s">
        <v>2147</v>
      </c>
      <c r="AB44" s="776" t="s">
        <v>2147</v>
      </c>
      <c r="AC44" s="776" t="s">
        <v>2147</v>
      </c>
      <c r="AD44" s="776"/>
    </row>
    <row r="45" spans="1:30" ht="27" customHeight="1">
      <c r="A45" s="775"/>
      <c r="B45" s="828">
        <v>28</v>
      </c>
      <c r="C45" s="773" t="s">
        <v>2148</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2149</v>
      </c>
      <c r="P45" s="886" t="s">
        <v>2150</v>
      </c>
      <c r="Q45" s="886" t="s">
        <v>2149</v>
      </c>
      <c r="R45" s="886" t="s">
        <v>2150</v>
      </c>
      <c r="S45" s="886"/>
      <c r="T45" s="773" t="s">
        <v>2139</v>
      </c>
      <c r="U45" s="773" t="s">
        <v>2139</v>
      </c>
      <c r="V45" s="773" t="s">
        <v>2139</v>
      </c>
      <c r="W45" s="773" t="s">
        <v>2139</v>
      </c>
      <c r="X45" s="773"/>
      <c r="Y45" s="929"/>
      <c r="Z45" s="776" t="s">
        <v>2151</v>
      </c>
      <c r="AA45" s="776" t="s">
        <v>2151</v>
      </c>
      <c r="AB45" s="776" t="s">
        <v>2151</v>
      </c>
      <c r="AC45" s="776" t="s">
        <v>2151</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производственных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производственных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2152</v>
      </c>
      <c r="P46" s="886" t="s">
        <v>2130</v>
      </c>
      <c r="Q46" s="886" t="s">
        <v>2152</v>
      </c>
      <c r="R46" s="886" t="s">
        <v>2130</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2153</v>
      </c>
      <c r="V46" s="773" t="s">
        <v>2153</v>
      </c>
      <c r="W46" s="773" t="s">
        <v>2153</v>
      </c>
      <c r="X46" s="773"/>
      <c r="Y46" s="929"/>
      <c r="Z46" s="776" t="s">
        <v>2154</v>
      </c>
      <c r="AA46" s="776" t="s">
        <v>2155</v>
      </c>
      <c r="AB46" s="776" t="s">
        <v>2155</v>
      </c>
      <c r="AC46" s="776" t="s">
        <v>2155</v>
      </c>
      <c r="AD46" s="776"/>
    </row>
    <row r="47" spans="1:30" ht="54" customHeight="1">
      <c r="A47" s="775"/>
      <c r="B47" s="828">
        <v>30</v>
      </c>
      <c r="C47" s="773" t="s">
        <v>2156</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2157</v>
      </c>
      <c r="P47" s="886" t="s">
        <v>2134</v>
      </c>
      <c r="Q47" s="886" t="s">
        <v>2157</v>
      </c>
      <c r="R47" s="886" t="s">
        <v>2134</v>
      </c>
      <c r="S47" s="886"/>
      <c r="T47" s="773" t="s">
        <v>2158</v>
      </c>
      <c r="U47" s="773" t="s">
        <v>2158</v>
      </c>
      <c r="V47" s="773" t="s">
        <v>2158</v>
      </c>
      <c r="W47" s="773" t="s">
        <v>2158</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2141</v>
      </c>
      <c r="Q48" s="886" t="s">
        <v>2159</v>
      </c>
      <c r="R48" s="886" t="s">
        <v>2141</v>
      </c>
      <c r="S48" s="886"/>
      <c r="T48" s="773"/>
      <c r="U48" s="773" t="s">
        <v>2160</v>
      </c>
      <c r="V48" s="773" t="s">
        <v>2161</v>
      </c>
      <c r="W48" s="773" t="s">
        <v>2161</v>
      </c>
      <c r="X48" s="773"/>
      <c r="Y48" s="929"/>
      <c r="Z48" s="776"/>
      <c r="AA48" s="779" t="s">
        <v>2155</v>
      </c>
      <c r="AB48" s="779" t="s">
        <v>2155</v>
      </c>
      <c r="AC48" s="779" t="s">
        <v>2155</v>
      </c>
      <c r="AD48" s="776"/>
    </row>
    <row r="49" spans="1:30" ht="54" customHeight="1">
      <c r="A49" s="775"/>
      <c r="B49" s="828">
        <v>32</v>
      </c>
      <c r="C49" s="773" t="s">
        <v>2162</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2145</v>
      </c>
      <c r="Q49" s="886" t="s">
        <v>2163</v>
      </c>
      <c r="R49" s="886" t="s">
        <v>2145</v>
      </c>
      <c r="S49" s="886"/>
      <c r="T49" s="773"/>
      <c r="U49" s="773" t="s">
        <v>2158</v>
      </c>
      <c r="V49" s="773" t="s">
        <v>2158</v>
      </c>
      <c r="W49" s="773" t="s">
        <v>2158</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2159</v>
      </c>
      <c r="P50" s="886" t="s">
        <v>2152</v>
      </c>
      <c r="Q50" s="886" t="s">
        <v>2164</v>
      </c>
      <c r="R50" s="886" t="s">
        <v>2152</v>
      </c>
      <c r="S50" s="886"/>
      <c r="T50" s="773" t="s">
        <v>2165</v>
      </c>
      <c r="U50" s="773" t="s">
        <v>2166</v>
      </c>
      <c r="V50" s="773" t="s">
        <v>2167</v>
      </c>
      <c r="W50" s="773" t="s">
        <v>2168</v>
      </c>
      <c r="X50" s="773"/>
      <c r="Y50" s="929"/>
      <c r="Z50" s="776" t="s">
        <v>2169</v>
      </c>
      <c r="AA50" s="779" t="s">
        <v>2170</v>
      </c>
      <c r="AB50" s="779" t="s">
        <v>2170</v>
      </c>
      <c r="AC50" s="779" t="s">
        <v>2170</v>
      </c>
      <c r="AD50" s="776"/>
    </row>
    <row r="51" spans="1:30" ht="27" customHeight="1">
      <c r="A51" s="775"/>
      <c r="B51" s="828">
        <v>34</v>
      </c>
      <c r="C51" s="773" t="s">
        <v>2171</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92</v>
      </c>
      <c r="P51" s="886"/>
      <c r="Q51" s="886"/>
      <c r="R51" s="886"/>
      <c r="S51" s="886"/>
      <c r="T51" s="773" t="s">
        <v>2172</v>
      </c>
      <c r="U51" s="773"/>
      <c r="V51" s="773"/>
      <c r="W51" s="773"/>
      <c r="X51" s="773"/>
      <c r="Y51" s="929"/>
      <c r="Z51" s="776"/>
      <c r="AA51" s="779"/>
      <c r="AB51" s="779"/>
      <c r="AC51" s="779"/>
      <c r="AD51" s="776"/>
    </row>
    <row r="52" spans="1:30" ht="36" customHeight="1">
      <c r="A52" s="775"/>
      <c r="B52" s="828">
        <v>35</v>
      </c>
      <c r="C52" s="773" t="s">
        <v>2065</v>
      </c>
      <c r="D52" s="896" t="s">
        <v>2065</v>
      </c>
      <c r="E52" s="773" t="s">
        <v>2065</v>
      </c>
      <c r="F52" s="773" t="s">
        <v>2065</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93</v>
      </c>
      <c r="P52" s="886" t="s">
        <v>92</v>
      </c>
      <c r="Q52" s="886" t="s">
        <v>92</v>
      </c>
      <c r="R52" s="886" t="s">
        <v>92</v>
      </c>
      <c r="S52" s="886"/>
      <c r="T52" s="773" t="s">
        <v>2173</v>
      </c>
      <c r="U52" s="773" t="s">
        <v>2174</v>
      </c>
      <c r="V52" s="773" t="s">
        <v>2175</v>
      </c>
      <c r="W52" s="773" t="s">
        <v>2176</v>
      </c>
      <c r="X52" s="773"/>
      <c r="Y52" s="929"/>
      <c r="Z52" s="776" t="s">
        <v>781</v>
      </c>
      <c r="AA52" s="779" t="s">
        <v>781</v>
      </c>
      <c r="AB52" s="779" t="s">
        <v>781</v>
      </c>
      <c r="AC52" s="779" t="s">
        <v>781</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785</v>
      </c>
      <c r="P53" s="886" t="s">
        <v>351</v>
      </c>
      <c r="Q53" s="886" t="s">
        <v>351</v>
      </c>
      <c r="R53" s="886" t="s">
        <v>351</v>
      </c>
      <c r="S53" s="886"/>
      <c r="T53" s="773" t="s">
        <v>2177</v>
      </c>
      <c r="U53" s="773" t="s">
        <v>2177</v>
      </c>
      <c r="V53" s="773" t="s">
        <v>2177</v>
      </c>
      <c r="W53" s="773" t="s">
        <v>2177</v>
      </c>
      <c r="X53" s="773"/>
      <c r="Y53" s="929"/>
      <c r="Z53" s="776"/>
      <c r="AA53" s="779"/>
      <c r="AB53" s="776"/>
      <c r="AC53" s="776"/>
      <c r="AD53" s="776"/>
    </row>
    <row r="54" spans="1:30" ht="18" customHeight="1">
      <c r="A54" s="775"/>
      <c r="B54" s="828">
        <v>37</v>
      </c>
      <c r="C54" s="773" t="s">
        <v>2071</v>
      </c>
      <c r="D54" s="896" t="s">
        <v>2071</v>
      </c>
      <c r="E54" s="773" t="s">
        <v>2071</v>
      </c>
      <c r="F54" s="773" t="s">
        <v>2071</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113</v>
      </c>
      <c r="P54" s="886" t="s">
        <v>93</v>
      </c>
      <c r="Q54" s="886" t="s">
        <v>93</v>
      </c>
      <c r="R54" s="886" t="s">
        <v>93</v>
      </c>
      <c r="S54" s="886"/>
      <c r="T54" s="773" t="s">
        <v>783</v>
      </c>
      <c r="U54" s="773" t="s">
        <v>783</v>
      </c>
      <c r="V54" s="773" t="s">
        <v>783</v>
      </c>
      <c r="W54" s="773" t="s">
        <v>783</v>
      </c>
      <c r="X54" s="773"/>
      <c r="Y54" s="929"/>
      <c r="Z54" s="776" t="s">
        <v>784</v>
      </c>
      <c r="AA54" s="776" t="s">
        <v>784</v>
      </c>
      <c r="AB54" s="776" t="s">
        <v>784</v>
      </c>
      <c r="AC54" s="776" t="s">
        <v>784</v>
      </c>
      <c r="AD54" s="776"/>
    </row>
    <row r="55" spans="1:30" ht="36" customHeight="1">
      <c r="A55" s="775"/>
      <c r="B55" s="828">
        <v>38</v>
      </c>
      <c r="C55" s="773">
        <v>1</v>
      </c>
      <c r="D55" s="896"/>
      <c r="E55" s="773"/>
      <c r="F55" s="773"/>
      <c r="G55" s="773"/>
      <c r="H55" s="820"/>
      <c r="I55" s="934" t="str">
        <f t="shared" si="7"/>
        <v>5.1</v>
      </c>
      <c r="J55" s="934" t="str">
        <f t="shared" si="8"/>
        <v>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340</v>
      </c>
      <c r="P55" s="886" t="s">
        <v>785</v>
      </c>
      <c r="Q55" s="886" t="s">
        <v>785</v>
      </c>
      <c r="R55" s="886" t="s">
        <v>785</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2178</v>
      </c>
      <c r="V55" s="773" t="s">
        <v>2178</v>
      </c>
      <c r="W55" s="773" t="s">
        <v>2178</v>
      </c>
      <c r="X55" s="773"/>
      <c r="Y55" s="929"/>
      <c r="Z55" s="776" t="s">
        <v>2179</v>
      </c>
      <c r="AA55" s="776" t="s">
        <v>2179</v>
      </c>
      <c r="AB55" s="776" t="s">
        <v>2179</v>
      </c>
      <c r="AC55" s="776" t="s">
        <v>2179</v>
      </c>
      <c r="AD55" s="776"/>
    </row>
    <row r="56" spans="1:30" ht="27" customHeight="1">
      <c r="A56" s="775"/>
      <c r="B56" s="828">
        <v>39</v>
      </c>
      <c r="C56" s="773" t="s">
        <v>1053</v>
      </c>
      <c r="D56" s="896"/>
      <c r="E56" s="773"/>
      <c r="F56" s="773"/>
      <c r="G56" s="773"/>
      <c r="H56" s="820"/>
      <c r="I56" s="934" t="str">
        <f t="shared" si="7"/>
        <v>5.1.1</v>
      </c>
      <c r="J56" s="934" t="str">
        <f t="shared" si="8"/>
        <v>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за счет их ввода в эксплуатацию</v>
      </c>
      <c r="N56" s="774" t="str">
        <f t="shared" si="12"/>
        <v>Указываются изменение стоимости основных фондов за счет их ввода в эксплуатацию.</v>
      </c>
      <c r="O56" s="886" t="s">
        <v>1176</v>
      </c>
      <c r="P56" s="886" t="s">
        <v>788</v>
      </c>
      <c r="Q56" s="886" t="s">
        <v>788</v>
      </c>
      <c r="R56" s="886" t="s">
        <v>788</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2180</v>
      </c>
      <c r="V56" s="773" t="s">
        <v>2180</v>
      </c>
      <c r="W56" s="773" t="s">
        <v>2180</v>
      </c>
      <c r="X56" s="773"/>
      <c r="Y56" s="929"/>
      <c r="Z56" s="776" t="s">
        <v>790</v>
      </c>
      <c r="AA56" s="776" t="s">
        <v>790</v>
      </c>
      <c r="AB56" s="776" t="s">
        <v>790</v>
      </c>
      <c r="AC56" s="776" t="s">
        <v>790</v>
      </c>
      <c r="AD56" s="776"/>
    </row>
    <row r="57" spans="1:30" ht="27" customHeight="1">
      <c r="A57" s="775"/>
      <c r="B57" s="828">
        <v>40</v>
      </c>
      <c r="C57" s="773" t="s">
        <v>1055</v>
      </c>
      <c r="D57" s="896"/>
      <c r="E57" s="773"/>
      <c r="F57" s="773"/>
      <c r="G57" s="773"/>
      <c r="H57" s="820"/>
      <c r="I57" s="934" t="str">
        <f t="shared" si="7"/>
        <v>5.1.2</v>
      </c>
      <c r="J57" s="934" t="str">
        <f t="shared" si="8"/>
        <v>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за счет их вывода в эксплуатацию</v>
      </c>
      <c r="N57" s="774" t="str">
        <f t="shared" si="12"/>
        <v>Указываются изменение стоимости основных фондов за счет их вывода из эксплуатации.</v>
      </c>
      <c r="O57" s="886" t="s">
        <v>2181</v>
      </c>
      <c r="P57" s="886" t="s">
        <v>791</v>
      </c>
      <c r="Q57" s="886" t="s">
        <v>791</v>
      </c>
      <c r="R57" s="886" t="s">
        <v>791</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2182</v>
      </c>
      <c r="V57" s="773" t="s">
        <v>2182</v>
      </c>
      <c r="W57" s="773" t="s">
        <v>2182</v>
      </c>
      <c r="X57" s="773"/>
      <c r="Y57" s="929"/>
      <c r="Z57" s="776" t="s">
        <v>793</v>
      </c>
      <c r="AA57" s="776" t="s">
        <v>793</v>
      </c>
      <c r="AB57" s="776" t="s">
        <v>793</v>
      </c>
      <c r="AC57" s="776" t="s">
        <v>793</v>
      </c>
      <c r="AD57" s="776"/>
    </row>
    <row r="58" spans="1:30" ht="18" customHeight="1">
      <c r="A58" s="775"/>
      <c r="B58" s="828">
        <v>41</v>
      </c>
      <c r="C58" s="773">
        <v>2</v>
      </c>
      <c r="D58" s="896"/>
      <c r="E58" s="773"/>
      <c r="F58" s="773"/>
      <c r="G58" s="773"/>
      <c r="H58" s="820"/>
      <c r="I58" s="934" t="str">
        <f t="shared" si="7"/>
        <v>5.2</v>
      </c>
      <c r="J58" s="934" t="str">
        <f t="shared" si="8"/>
        <v>за счет их переоценки</v>
      </c>
      <c r="K58" s="934">
        <f t="shared" si="9"/>
        <v>0</v>
      </c>
      <c r="L58" s="774" t="str">
        <f t="shared" si="10"/>
        <v>5.2</v>
      </c>
      <c r="M58" s="774" t="str">
        <f t="shared" si="11"/>
        <v>за счет их переоценки</v>
      </c>
      <c r="N58" s="774" t="str">
        <f t="shared" si="12"/>
        <v/>
      </c>
      <c r="O58" s="886" t="s">
        <v>913</v>
      </c>
      <c r="P58" s="886" t="s">
        <v>827</v>
      </c>
      <c r="Q58" s="886" t="s">
        <v>827</v>
      </c>
      <c r="R58" s="886" t="s">
        <v>827</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2183</v>
      </c>
      <c r="V58" s="773" t="s">
        <v>2183</v>
      </c>
      <c r="W58" s="773" t="s">
        <v>2183</v>
      </c>
      <c r="X58" s="773"/>
      <c r="Y58" s="929"/>
      <c r="Z58" s="776"/>
      <c r="AA58" s="779"/>
      <c r="AB58" s="776"/>
      <c r="AC58" s="776"/>
      <c r="AD58" s="776"/>
    </row>
    <row r="59" spans="1:30" ht="36" customHeight="1">
      <c r="A59" s="775"/>
      <c r="B59" s="828">
        <v>42</v>
      </c>
      <c r="C59" s="773">
        <v>3</v>
      </c>
      <c r="D59" s="896" t="s">
        <v>2171</v>
      </c>
      <c r="E59" s="773" t="s">
        <v>2171</v>
      </c>
      <c r="F59" s="773" t="s">
        <v>2171</v>
      </c>
      <c r="G59" s="773"/>
      <c r="H59" s="820"/>
      <c r="I59" s="934">
        <f t="shared" si="7"/>
        <v>0</v>
      </c>
      <c r="J59" s="934">
        <f t="shared" si="8"/>
        <v>0</v>
      </c>
      <c r="K59" s="934">
        <f t="shared" si="9"/>
        <v>0</v>
      </c>
      <c r="L59" s="774" t="str">
        <f t="shared" si="10"/>
        <v/>
      </c>
      <c r="M59" s="774" t="str">
        <f t="shared" si="11"/>
        <v/>
      </c>
      <c r="N59" s="774" t="str">
        <f t="shared" si="12"/>
        <v/>
      </c>
      <c r="O59" s="886"/>
      <c r="P59" s="886" t="s">
        <v>113</v>
      </c>
      <c r="Q59" s="886" t="s">
        <v>113</v>
      </c>
      <c r="R59" s="886" t="s">
        <v>113</v>
      </c>
      <c r="S59" s="886"/>
      <c r="T59" s="773"/>
      <c r="U59" s="773" t="s">
        <v>2184</v>
      </c>
      <c r="V59" s="773" t="s">
        <v>2185</v>
      </c>
      <c r="W59" s="773" t="s">
        <v>2186</v>
      </c>
      <c r="X59" s="773"/>
      <c r="Y59" s="929"/>
      <c r="Z59" s="776"/>
      <c r="AA59" s="779"/>
      <c r="AB59" s="776"/>
      <c r="AC59" s="776"/>
      <c r="AD59" s="776"/>
    </row>
    <row r="60" spans="1:30" ht="81" customHeight="1">
      <c r="A60" s="775"/>
      <c r="B60" s="828">
        <v>43</v>
      </c>
      <c r="C60" s="773" t="s">
        <v>2187</v>
      </c>
      <c r="D60" s="896" t="s">
        <v>2187</v>
      </c>
      <c r="E60" s="773" t="s">
        <v>2187</v>
      </c>
      <c r="F60" s="773" t="s">
        <v>2187</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94</v>
      </c>
      <c r="P60" s="886" t="s">
        <v>94</v>
      </c>
      <c r="Q60" s="886" t="s">
        <v>94</v>
      </c>
      <c r="R60" s="886" t="s">
        <v>94</v>
      </c>
      <c r="S60" s="886"/>
      <c r="T60" s="773" t="s">
        <v>661</v>
      </c>
      <c r="U60" s="773" t="s">
        <v>661</v>
      </c>
      <c r="V60" s="773" t="s">
        <v>661</v>
      </c>
      <c r="W60" s="773" t="s">
        <v>661</v>
      </c>
      <c r="X60" s="773"/>
      <c r="Y60" s="929"/>
      <c r="Z60" s="776" t="s">
        <v>2188</v>
      </c>
      <c r="AA60" s="779" t="s">
        <v>2189</v>
      </c>
      <c r="AB60" s="776" t="s">
        <v>2190</v>
      </c>
      <c r="AC60" s="776" t="s">
        <v>2189</v>
      </c>
      <c r="AD60" s="776"/>
    </row>
    <row r="61" spans="1:30" ht="9" customHeight="1">
      <c r="A61" s="775"/>
      <c r="B61" s="828">
        <v>44</v>
      </c>
      <c r="C61" s="773"/>
      <c r="D61" s="896" t="s">
        <v>2191</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95</v>
      </c>
      <c r="Q61" s="886"/>
      <c r="R61" s="886"/>
      <c r="S61" s="886"/>
      <c r="T61" s="773"/>
      <c r="U61" s="773" t="s">
        <v>2192</v>
      </c>
      <c r="V61" s="773"/>
      <c r="W61" s="773"/>
      <c r="X61" s="773"/>
      <c r="Y61" s="929"/>
      <c r="Z61" s="776"/>
      <c r="AA61" s="779"/>
      <c r="AB61" s="776"/>
      <c r="AC61" s="776"/>
      <c r="AD61" s="776"/>
    </row>
    <row r="62" spans="1:30" ht="9" customHeight="1">
      <c r="A62" s="775"/>
      <c r="B62" s="828">
        <v>45</v>
      </c>
      <c r="C62" s="773"/>
      <c r="D62" s="896" t="s">
        <v>2193</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114</v>
      </c>
      <c r="Q62" s="886"/>
      <c r="R62" s="886"/>
      <c r="S62" s="886"/>
      <c r="T62" s="773"/>
      <c r="U62" s="773" t="s">
        <v>2194</v>
      </c>
      <c r="V62" s="773"/>
      <c r="W62" s="773"/>
      <c r="X62" s="773"/>
      <c r="Y62" s="929"/>
      <c r="Z62" s="776"/>
      <c r="AA62" s="779"/>
      <c r="AB62" s="776"/>
      <c r="AC62" s="776"/>
      <c r="AD62" s="776"/>
    </row>
    <row r="63" spans="1:30" ht="18" customHeight="1">
      <c r="A63" s="775"/>
      <c r="B63" s="828">
        <v>46</v>
      </c>
      <c r="C63" s="773"/>
      <c r="D63" s="896" t="s">
        <v>2195</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101</v>
      </c>
      <c r="Q63" s="886"/>
      <c r="R63" s="886"/>
      <c r="S63" s="886"/>
      <c r="T63" s="773"/>
      <c r="U63" s="773" t="s">
        <v>2196</v>
      </c>
      <c r="V63" s="773"/>
      <c r="W63" s="773"/>
      <c r="X63" s="773"/>
      <c r="Y63" s="929"/>
      <c r="Z63" s="776"/>
      <c r="AA63" s="779"/>
      <c r="AB63" s="776"/>
      <c r="AC63" s="776"/>
      <c r="AD63" s="776"/>
    </row>
    <row r="64" spans="1:30" ht="18" customHeight="1">
      <c r="A64" s="775"/>
      <c r="B64" s="828">
        <v>47</v>
      </c>
      <c r="C64" s="773"/>
      <c r="D64" s="896" t="s">
        <v>2197</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2198</v>
      </c>
      <c r="V64" s="773"/>
      <c r="W64" s="773"/>
      <c r="X64" s="773"/>
      <c r="Y64" s="929"/>
      <c r="Z64" s="776"/>
      <c r="AA64" s="779" t="s">
        <v>2199</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2112</v>
      </c>
      <c r="Q65" s="886"/>
      <c r="R65" s="886"/>
      <c r="S65" s="886"/>
      <c r="T65" s="773"/>
      <c r="U65" s="773" t="s">
        <v>2200</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2116</v>
      </c>
      <c r="Q66" s="886"/>
      <c r="R66" s="886"/>
      <c r="S66" s="886"/>
      <c r="T66" s="773"/>
      <c r="U66" s="773" t="s">
        <v>2201</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2202</v>
      </c>
      <c r="Q67" s="886"/>
      <c r="R67" s="886"/>
      <c r="S67" s="886"/>
      <c r="T67" s="773"/>
      <c r="U67" s="773" t="s">
        <v>2203</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2204</v>
      </c>
      <c r="Q68" s="886"/>
      <c r="R68" s="886"/>
      <c r="S68" s="886"/>
      <c r="T68" s="773"/>
      <c r="U68" s="773" t="s">
        <v>2205</v>
      </c>
      <c r="V68" s="773"/>
      <c r="W68" s="773"/>
      <c r="X68" s="773"/>
      <c r="Y68" s="929"/>
      <c r="Z68" s="776"/>
      <c r="AA68" s="779"/>
      <c r="AB68" s="776"/>
      <c r="AC68" s="776"/>
      <c r="AD68" s="776"/>
    </row>
    <row r="69" spans="1:30" ht="9" customHeight="1">
      <c r="A69" s="775"/>
      <c r="B69" s="828">
        <v>52</v>
      </c>
      <c r="C69" s="773"/>
      <c r="D69" s="896" t="s">
        <v>2206</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2207</v>
      </c>
      <c r="V69" s="773"/>
      <c r="W69" s="773"/>
      <c r="X69" s="773"/>
      <c r="Y69" s="929"/>
      <c r="Z69" s="776"/>
      <c r="AA69" s="779"/>
      <c r="AB69" s="776"/>
      <c r="AC69" s="776"/>
      <c r="AD69" s="776"/>
    </row>
    <row r="70" spans="1:30" ht="27" customHeight="1">
      <c r="A70" s="775"/>
      <c r="B70" s="828">
        <v>53</v>
      </c>
      <c r="C70" s="773"/>
      <c r="D70" s="896"/>
      <c r="E70" s="773" t="s">
        <v>2191</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95</v>
      </c>
      <c r="R70" s="886"/>
      <c r="S70" s="886"/>
      <c r="T70" s="773"/>
      <c r="U70" s="773"/>
      <c r="V70" s="773" t="s">
        <v>2208</v>
      </c>
      <c r="W70" s="773"/>
      <c r="X70" s="773"/>
      <c r="Y70" s="929"/>
      <c r="Z70" s="776"/>
      <c r="AA70" s="779"/>
      <c r="AB70" s="776"/>
      <c r="AC70" s="776"/>
      <c r="AD70" s="776"/>
    </row>
    <row r="71" spans="1:30" ht="36" customHeight="1">
      <c r="A71" s="775"/>
      <c r="B71" s="828">
        <v>54</v>
      </c>
      <c r="C71" s="773"/>
      <c r="D71" s="896"/>
      <c r="E71" s="773" t="s">
        <v>2193</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114</v>
      </c>
      <c r="R71" s="886"/>
      <c r="S71" s="886"/>
      <c r="T71" s="773"/>
      <c r="U71" s="773"/>
      <c r="V71" s="773" t="s">
        <v>2209</v>
      </c>
      <c r="W71" s="773"/>
      <c r="X71" s="773"/>
      <c r="Y71" s="929"/>
      <c r="Z71" s="776"/>
      <c r="AA71" s="779"/>
      <c r="AB71" s="776"/>
      <c r="AC71" s="776"/>
      <c r="AD71" s="776"/>
    </row>
    <row r="72" spans="1:30" ht="27" customHeight="1">
      <c r="A72" s="775"/>
      <c r="B72" s="828">
        <v>55</v>
      </c>
      <c r="C72" s="773"/>
      <c r="D72" s="896"/>
      <c r="E72" s="773" t="s">
        <v>2195</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101</v>
      </c>
      <c r="R72" s="886"/>
      <c r="S72" s="886"/>
      <c r="T72" s="773"/>
      <c r="U72" s="773"/>
      <c r="V72" s="773" t="s">
        <v>2210</v>
      </c>
      <c r="W72" s="773"/>
      <c r="X72" s="773"/>
      <c r="Y72" s="929"/>
      <c r="Z72" s="776"/>
      <c r="AA72" s="779"/>
      <c r="AB72" s="776"/>
      <c r="AC72" s="776"/>
      <c r="AD72" s="776"/>
    </row>
    <row r="73" spans="1:30" ht="36" customHeight="1">
      <c r="A73" s="775"/>
      <c r="B73" s="828">
        <v>56</v>
      </c>
      <c r="C73" s="773"/>
      <c r="D73" s="896"/>
      <c r="E73" s="773" t="s">
        <v>2197</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2211</v>
      </c>
      <c r="W73" s="773"/>
      <c r="X73" s="773"/>
      <c r="Y73" s="929"/>
      <c r="Z73" s="776"/>
      <c r="AA73" s="779"/>
      <c r="AB73" s="776"/>
      <c r="AC73" s="776"/>
      <c r="AD73" s="776"/>
    </row>
    <row r="74" spans="1:30" ht="18" customHeight="1">
      <c r="A74" s="775"/>
      <c r="B74" s="828">
        <v>57</v>
      </c>
      <c r="C74" s="773"/>
      <c r="D74" s="896"/>
      <c r="E74" s="773" t="s">
        <v>2206</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2212</v>
      </c>
      <c r="W74" s="773"/>
      <c r="X74" s="773"/>
      <c r="Y74" s="929"/>
      <c r="Z74" s="776"/>
      <c r="AA74" s="779"/>
      <c r="AB74" s="776"/>
      <c r="AC74" s="776"/>
      <c r="AD74" s="776"/>
    </row>
    <row r="75" spans="1:30" ht="18" customHeight="1">
      <c r="A75" s="775"/>
      <c r="B75" s="828">
        <v>58</v>
      </c>
      <c r="C75" s="773"/>
      <c r="D75" s="896"/>
      <c r="E75" s="773"/>
      <c r="F75" s="773" t="s">
        <v>2191</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95</v>
      </c>
      <c r="S75" s="886"/>
      <c r="T75" s="773"/>
      <c r="U75" s="773"/>
      <c r="V75" s="773"/>
      <c r="W75" s="773" t="s">
        <v>2213</v>
      </c>
      <c r="X75" s="773"/>
      <c r="Y75" s="929"/>
      <c r="Z75" s="776"/>
      <c r="AA75" s="779"/>
      <c r="AB75" s="776"/>
      <c r="AC75" s="776"/>
      <c r="AD75" s="776"/>
    </row>
    <row r="76" spans="1:30" ht="36" customHeight="1">
      <c r="A76" s="775"/>
      <c r="B76" s="828">
        <v>59</v>
      </c>
      <c r="C76" s="773"/>
      <c r="D76" s="896"/>
      <c r="E76" s="773"/>
      <c r="F76" s="773" t="s">
        <v>2193</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114</v>
      </c>
      <c r="S76" s="886"/>
      <c r="T76" s="773"/>
      <c r="U76" s="773"/>
      <c r="V76" s="773"/>
      <c r="W76" s="773" t="s">
        <v>2214</v>
      </c>
      <c r="X76" s="773"/>
      <c r="Y76" s="929"/>
      <c r="Z76" s="776"/>
      <c r="AA76" s="779"/>
      <c r="AB76" s="776"/>
      <c r="AC76" s="776"/>
      <c r="AD76" s="776"/>
    </row>
    <row r="77" spans="1:30" ht="18" customHeight="1">
      <c r="A77" s="775"/>
      <c r="B77" s="828">
        <v>60</v>
      </c>
      <c r="C77" s="773"/>
      <c r="D77" s="896"/>
      <c r="E77" s="773"/>
      <c r="F77" s="773" t="s">
        <v>2195</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101</v>
      </c>
      <c r="S77" s="886"/>
      <c r="T77" s="773"/>
      <c r="U77" s="773"/>
      <c r="V77" s="773"/>
      <c r="W77" s="773" t="s">
        <v>2215</v>
      </c>
      <c r="X77" s="773"/>
      <c r="Y77" s="929"/>
      <c r="Z77" s="776"/>
      <c r="AA77" s="779"/>
      <c r="AB77" s="776"/>
      <c r="AC77" s="776"/>
      <c r="AD77" s="776"/>
    </row>
    <row r="78" spans="1:30" ht="72" customHeight="1">
      <c r="A78" s="775"/>
      <c r="B78" s="828">
        <v>61</v>
      </c>
      <c r="C78" s="773" t="s">
        <v>2191</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95</v>
      </c>
      <c r="P78" s="886"/>
      <c r="Q78" s="886"/>
      <c r="R78" s="886"/>
      <c r="S78" s="886"/>
      <c r="T78" s="773" t="s">
        <v>666</v>
      </c>
      <c r="U78" s="773"/>
      <c r="V78" s="773"/>
      <c r="W78" s="773"/>
      <c r="X78" s="773"/>
      <c r="Y78" s="929"/>
      <c r="Z78" s="776" t="s">
        <v>2216</v>
      </c>
      <c r="AA78" s="779"/>
      <c r="AB78" s="776"/>
      <c r="AC78" s="776"/>
      <c r="AD78" s="776"/>
    </row>
    <row r="79" spans="1:30" ht="36" customHeight="1">
      <c r="A79" s="775"/>
      <c r="B79" s="828">
        <v>62</v>
      </c>
      <c r="C79" s="773" t="s">
        <v>2193</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114</v>
      </c>
      <c r="P79" s="886"/>
      <c r="Q79" s="886"/>
      <c r="R79" s="886"/>
      <c r="S79" s="886"/>
      <c r="T79" s="773" t="s">
        <v>2217</v>
      </c>
      <c r="U79" s="773"/>
      <c r="V79" s="773"/>
      <c r="W79" s="773"/>
      <c r="X79" s="773"/>
      <c r="Y79" s="929"/>
      <c r="Z79" s="776" t="s">
        <v>2218</v>
      </c>
      <c r="AA79" s="779"/>
      <c r="AB79" s="776"/>
      <c r="AC79" s="776"/>
      <c r="AD79" s="776"/>
    </row>
    <row r="80" spans="1:30" ht="45" customHeight="1">
      <c r="A80" s="775"/>
      <c r="B80" s="828">
        <v>63</v>
      </c>
      <c r="C80" s="773" t="s">
        <v>2195</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101</v>
      </c>
      <c r="P80" s="886"/>
      <c r="Q80" s="886"/>
      <c r="R80" s="886"/>
      <c r="S80" s="886"/>
      <c r="T80" s="773" t="s">
        <v>2219</v>
      </c>
      <c r="U80" s="773"/>
      <c r="V80" s="773"/>
      <c r="W80" s="773"/>
      <c r="X80" s="773"/>
      <c r="Y80" s="929"/>
      <c r="Z80" s="776" t="s">
        <v>2220</v>
      </c>
      <c r="AA80" s="779"/>
      <c r="AB80" s="776"/>
      <c r="AC80" s="776"/>
      <c r="AD80" s="776"/>
    </row>
    <row r="81" spans="1:30" ht="36" customHeight="1">
      <c r="A81" s="775"/>
      <c r="B81" s="828">
        <v>64</v>
      </c>
      <c r="C81" s="773" t="s">
        <v>2197</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2103</v>
      </c>
      <c r="P81" s="886"/>
      <c r="Q81" s="886"/>
      <c r="R81" s="886"/>
      <c r="S81" s="886"/>
      <c r="T81" s="773" t="s">
        <v>2221</v>
      </c>
      <c r="U81" s="773"/>
      <c r="V81" s="773"/>
      <c r="W81" s="773"/>
      <c r="X81" s="773"/>
      <c r="Y81" s="929"/>
      <c r="Z81" s="776" t="s">
        <v>2222</v>
      </c>
      <c r="AA81" s="779"/>
      <c r="AB81" s="776"/>
      <c r="AC81" s="776"/>
      <c r="AD81" s="776"/>
    </row>
    <row r="82" spans="1:30" ht="90" customHeight="1">
      <c r="A82" s="775"/>
      <c r="B82" s="828">
        <v>65</v>
      </c>
      <c r="C82" s="773" t="s">
        <v>2206</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2223</v>
      </c>
      <c r="U82" s="773"/>
      <c r="V82" s="773"/>
      <c r="W82" s="773"/>
      <c r="X82" s="773"/>
      <c r="Y82" s="929"/>
      <c r="Z82" s="776" t="s">
        <v>2224</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2112</v>
      </c>
      <c r="P83" s="886"/>
      <c r="Q83" s="886"/>
      <c r="R83" s="886"/>
      <c r="S83" s="886"/>
      <c r="T83" s="773" t="s">
        <v>2225</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2226</v>
      </c>
      <c r="P84" s="886"/>
      <c r="Q84" s="886"/>
      <c r="R84" s="886"/>
      <c r="S84" s="886"/>
      <c r="T84" s="773" t="s">
        <v>2227</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2116</v>
      </c>
      <c r="P85" s="886"/>
      <c r="Q85" s="886"/>
      <c r="R85" s="886"/>
      <c r="S85" s="886"/>
      <c r="T85" s="773" t="s">
        <v>2228</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2229</v>
      </c>
      <c r="P86" s="886"/>
      <c r="Q86" s="886"/>
      <c r="R86" s="886"/>
      <c r="S86" s="886"/>
      <c r="T86" s="773" t="s">
        <v>2230</v>
      </c>
      <c r="U86" s="773"/>
      <c r="V86" s="773"/>
      <c r="W86" s="773"/>
      <c r="X86" s="773"/>
      <c r="Y86" s="929"/>
      <c r="Z86" s="776"/>
      <c r="AA86" s="779"/>
      <c r="AB86" s="776"/>
      <c r="AC86" s="776"/>
      <c r="AD86" s="776"/>
    </row>
    <row r="87" spans="1:30" ht="36" customHeight="1">
      <c r="A87" s="775"/>
      <c r="B87" s="828">
        <v>70</v>
      </c>
      <c r="C87" s="773" t="s">
        <v>2231</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2232</v>
      </c>
      <c r="U87" s="773"/>
      <c r="V87" s="773"/>
      <c r="W87" s="773"/>
      <c r="X87" s="773"/>
      <c r="Y87" s="929"/>
      <c r="Z87" s="776"/>
      <c r="AA87" s="779"/>
      <c r="AB87" s="776"/>
      <c r="AC87" s="776"/>
      <c r="AD87" s="776"/>
    </row>
    <row r="88" spans="1:30" ht="18" customHeight="1">
      <c r="A88" s="775"/>
      <c r="B88" s="828">
        <v>71</v>
      </c>
      <c r="C88" s="773" t="s">
        <v>2233</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698</v>
      </c>
      <c r="U88" s="773"/>
      <c r="V88" s="773"/>
      <c r="W88" s="773"/>
      <c r="X88" s="773"/>
      <c r="Y88" s="929"/>
      <c r="Z88" s="776"/>
      <c r="AA88" s="779"/>
      <c r="AB88" s="776"/>
      <c r="AC88" s="776"/>
      <c r="AD88" s="776"/>
    </row>
    <row r="89" spans="1:30" ht="18" customHeight="1">
      <c r="A89" s="775"/>
      <c r="B89" s="828">
        <v>72</v>
      </c>
      <c r="C89" s="773" t="s">
        <v>2234</v>
      </c>
      <c r="D89" s="896" t="s">
        <v>2231</v>
      </c>
      <c r="E89" s="773" t="s">
        <v>2231</v>
      </c>
      <c r="F89" s="773" t="s">
        <v>2197</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706</v>
      </c>
      <c r="U89" s="773" t="s">
        <v>706</v>
      </c>
      <c r="V89" s="773" t="s">
        <v>706</v>
      </c>
      <c r="W89" s="773" t="s">
        <v>706</v>
      </c>
      <c r="X89" s="773"/>
      <c r="Y89" s="929"/>
      <c r="Z89" s="776"/>
      <c r="AA89" s="779"/>
      <c r="AB89" s="776"/>
      <c r="AC89" s="776"/>
      <c r="AD89" s="776"/>
    </row>
    <row r="90" spans="1:30" ht="27" customHeight="1">
      <c r="A90" s="775"/>
      <c r="B90" s="828">
        <v>73</v>
      </c>
      <c r="C90" s="773" t="s">
        <v>2235</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708</v>
      </c>
      <c r="U90" s="773"/>
      <c r="V90" s="773"/>
      <c r="W90" s="773"/>
      <c r="X90" s="773"/>
      <c r="Y90" s="929"/>
      <c r="Z90" s="776"/>
      <c r="AA90" s="779"/>
      <c r="AB90" s="776"/>
      <c r="AC90" s="776"/>
      <c r="AD90" s="776"/>
    </row>
    <row r="91" spans="1:30" ht="18" customHeight="1">
      <c r="A91" s="775"/>
      <c r="B91" s="828">
        <v>74</v>
      </c>
      <c r="C91" s="773"/>
      <c r="D91" s="896" t="s">
        <v>2233</v>
      </c>
      <c r="E91" s="773" t="s">
        <v>2233</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2236</v>
      </c>
      <c r="V91" s="773" t="s">
        <v>2236</v>
      </c>
      <c r="W91" s="773"/>
      <c r="X91" s="773"/>
      <c r="Y91" s="929"/>
      <c r="Z91" s="776"/>
      <c r="AA91" s="779"/>
      <c r="AB91" s="776"/>
      <c r="AC91" s="776"/>
      <c r="AD91" s="776"/>
    </row>
    <row r="92" spans="1:30" ht="27" customHeight="1">
      <c r="A92" s="775"/>
      <c r="B92" s="828">
        <v>75</v>
      </c>
      <c r="C92" s="773"/>
      <c r="D92" s="896" t="s">
        <v>2234</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2237</v>
      </c>
      <c r="V92" s="773"/>
      <c r="W92" s="773"/>
      <c r="X92" s="773"/>
      <c r="Y92" s="929"/>
      <c r="Z92" s="776"/>
      <c r="AA92" s="779" t="s">
        <v>2238</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2144</v>
      </c>
      <c r="Q93" s="886"/>
      <c r="R93" s="886"/>
      <c r="S93" s="886"/>
      <c r="T93" s="773"/>
      <c r="U93" s="773" t="s">
        <v>2239</v>
      </c>
      <c r="V93" s="773"/>
      <c r="W93" s="773"/>
      <c r="X93" s="773"/>
      <c r="Y93" s="929"/>
      <c r="Z93" s="776"/>
      <c r="AA93" s="779" t="s">
        <v>2240</v>
      </c>
      <c r="AB93" s="776"/>
      <c r="AC93" s="776"/>
      <c r="AD93" s="776"/>
    </row>
    <row r="94" spans="1:30" ht="45" customHeight="1">
      <c r="A94" s="775"/>
      <c r="B94" s="828">
        <v>77</v>
      </c>
      <c r="C94" s="773"/>
      <c r="D94" s="896" t="s">
        <v>2235</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1495</v>
      </c>
      <c r="Q94" s="886"/>
      <c r="R94" s="886"/>
      <c r="S94" s="886"/>
      <c r="T94" s="773"/>
      <c r="U94" s="773" t="s">
        <v>2241</v>
      </c>
      <c r="V94" s="773"/>
      <c r="W94" s="773"/>
      <c r="X94" s="773"/>
      <c r="Y94" s="929"/>
      <c r="Z94" s="776"/>
      <c r="AA94" s="779" t="s">
        <v>2242</v>
      </c>
      <c r="AB94" s="776"/>
      <c r="AC94" s="776"/>
      <c r="AD94" s="776"/>
    </row>
    <row r="95" spans="1:30" ht="99" customHeight="1">
      <c r="A95" s="775"/>
      <c r="B95" s="828">
        <v>78</v>
      </c>
      <c r="C95" s="773" t="s">
        <v>2243</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1495</v>
      </c>
      <c r="P95" s="886"/>
      <c r="Q95" s="886"/>
      <c r="R95" s="886"/>
      <c r="S95" s="886"/>
      <c r="T95" s="773" t="s">
        <v>2244</v>
      </c>
      <c r="U95" s="773"/>
      <c r="V95" s="773"/>
      <c r="W95" s="773"/>
      <c r="X95" s="773"/>
      <c r="Y95" s="929"/>
      <c r="Z95" s="776"/>
      <c r="AA95" s="779"/>
      <c r="AB95" s="776"/>
      <c r="AC95" s="776"/>
      <c r="AD95" s="776"/>
    </row>
    <row r="96" spans="1:30" ht="99" customHeight="1">
      <c r="A96" s="775"/>
      <c r="B96" s="828">
        <v>79</v>
      </c>
      <c r="C96" s="773" t="s">
        <v>1189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1501</v>
      </c>
      <c r="P96" s="886"/>
      <c r="Q96" s="886"/>
      <c r="R96" s="886"/>
      <c r="S96" s="886"/>
      <c r="T96" s="773" t="s">
        <v>2245</v>
      </c>
      <c r="U96" s="773"/>
      <c r="V96" s="773"/>
      <c r="W96" s="773"/>
      <c r="X96" s="773"/>
      <c r="Y96" s="929"/>
      <c r="Z96" s="776" t="s">
        <v>2246</v>
      </c>
      <c r="AA96" s="779"/>
      <c r="AB96" s="776"/>
      <c r="AC96" s="776"/>
      <c r="AD96" s="776"/>
    </row>
    <row r="97" spans="1:30" ht="63" customHeight="1">
      <c r="A97" s="775"/>
      <c r="B97" s="828">
        <v>80</v>
      </c>
      <c r="C97" s="773" t="s">
        <v>2247</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1513</v>
      </c>
      <c r="P97" s="886"/>
      <c r="Q97" s="886"/>
      <c r="R97" s="886"/>
      <c r="S97" s="886"/>
      <c r="T97" s="773" t="s">
        <v>2248</v>
      </c>
      <c r="U97" s="773"/>
      <c r="V97" s="773"/>
      <c r="W97" s="773"/>
      <c r="X97" s="773"/>
      <c r="Y97" s="929"/>
      <c r="Z97" s="776" t="s">
        <v>2249</v>
      </c>
      <c r="AA97" s="779"/>
      <c r="AB97" s="776"/>
      <c r="AC97" s="776"/>
      <c r="AD97" s="776"/>
    </row>
    <row r="98" spans="1:30" ht="63" customHeight="1">
      <c r="A98" s="775"/>
      <c r="B98" s="828">
        <v>81</v>
      </c>
      <c r="C98" s="773" t="s">
        <v>2250</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1527</v>
      </c>
      <c r="P98" s="886"/>
      <c r="Q98" s="886"/>
      <c r="R98" s="886"/>
      <c r="S98" s="886"/>
      <c r="T98" s="773" t="s">
        <v>2251</v>
      </c>
      <c r="U98" s="773"/>
      <c r="V98" s="773"/>
      <c r="W98" s="773"/>
      <c r="X98" s="773"/>
      <c r="Y98" s="929"/>
      <c r="Z98" s="776" t="s">
        <v>2249</v>
      </c>
      <c r="AA98" s="779"/>
      <c r="AB98" s="776"/>
      <c r="AC98" s="776"/>
      <c r="AD98" s="776"/>
    </row>
    <row r="99" spans="1:30" ht="90" customHeight="1">
      <c r="A99" s="775"/>
      <c r="B99" s="828">
        <v>82</v>
      </c>
      <c r="C99" s="773" t="s">
        <v>2252</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1539</v>
      </c>
      <c r="P99" s="886"/>
      <c r="Q99" s="886"/>
      <c r="R99" s="886"/>
      <c r="S99" s="886"/>
      <c r="T99" s="773" t="s">
        <v>2253</v>
      </c>
      <c r="U99" s="773"/>
      <c r="V99" s="773"/>
      <c r="W99" s="773"/>
      <c r="X99" s="773"/>
      <c r="Y99" s="929"/>
      <c r="Z99" s="776" t="s">
        <v>663</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2254</v>
      </c>
      <c r="P100" s="886"/>
      <c r="Q100" s="886"/>
      <c r="R100" s="886"/>
      <c r="S100" s="886"/>
      <c r="T100" s="773" t="s">
        <v>2255</v>
      </c>
      <c r="U100" s="773"/>
      <c r="V100" s="773"/>
      <c r="W100" s="773"/>
      <c r="X100" s="773"/>
      <c r="Y100" s="929"/>
      <c r="Z100" s="776" t="s">
        <v>663</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2256</v>
      </c>
      <c r="P101" s="886"/>
      <c r="Q101" s="886"/>
      <c r="R101" s="886"/>
      <c r="S101" s="886"/>
      <c r="T101" s="773" t="s">
        <v>2257</v>
      </c>
      <c r="U101" s="773"/>
      <c r="V101" s="773"/>
      <c r="W101" s="773"/>
      <c r="X101" s="773"/>
      <c r="Y101" s="929"/>
      <c r="Z101" s="776" t="s">
        <v>663</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1693</v>
      </c>
      <c r="B148" s="775"/>
      <c r="C148" s="773" t="s">
        <v>2258</v>
      </c>
      <c r="D148" s="773" t="s">
        <v>1595</v>
      </c>
      <c r="E148" s="773" t="s">
        <v>1695</v>
      </c>
      <c r="F148" s="773" t="s">
        <v>2259</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2260</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2261</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1697</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1700</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1705</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15" customWidth="1"/>
    <col min="10" max="11" width="3" style="281" customWidth="1"/>
    <col min="12" max="12" width="12" style="2016"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5668" t="s">
        <v>2262</v>
      </c>
      <c r="M5" s="5668"/>
      <c r="N5" s="5668"/>
      <c r="O5" s="5668"/>
      <c r="P5" s="5668"/>
      <c r="Q5" s="5668"/>
      <c r="R5" s="5668"/>
      <c r="S5" s="5668"/>
      <c r="T5" s="5668"/>
      <c r="U5" s="5668"/>
      <c r="V5" s="1169"/>
      <c r="AD5" s="1081">
        <v>64</v>
      </c>
    </row>
    <row r="6" spans="1:30" ht="14.65" customHeight="1">
      <c r="J6" s="312"/>
      <c r="K6" s="312"/>
      <c r="L6" s="5669" t="str">
        <f>IF(org=0,"Не определено",org)</f>
        <v>ПАО "ТГК-1" филиал "Невский"</v>
      </c>
      <c r="M6" s="5669"/>
      <c r="N6" s="5669"/>
      <c r="O6" s="5669"/>
      <c r="P6" s="5669"/>
      <c r="Q6" s="5669"/>
      <c r="R6" s="5669"/>
      <c r="S6" s="5669"/>
      <c r="T6" s="5669"/>
      <c r="U6" s="5669"/>
      <c r="V6" s="1169"/>
      <c r="AD6" s="1081">
        <v>14</v>
      </c>
    </row>
    <row r="7" spans="1:30" ht="14.65" customHeight="1">
      <c r="J7" s="312"/>
      <c r="K7" s="312"/>
      <c r="L7" s="1201"/>
      <c r="M7" s="299"/>
      <c r="N7" s="299"/>
      <c r="O7" s="259"/>
      <c r="P7" s="259"/>
      <c r="Q7" s="259"/>
      <c r="R7" s="259"/>
      <c r="S7" s="259"/>
      <c r="T7" s="259"/>
      <c r="U7" s="259"/>
      <c r="V7" s="259"/>
      <c r="W7" s="445"/>
      <c r="AD7" s="1081">
        <v>14</v>
      </c>
    </row>
    <row r="8" spans="1:30" s="1777" customFormat="1" ht="48.2" customHeight="1">
      <c r="A8" s="1294"/>
      <c r="B8" s="1294"/>
      <c r="C8" s="1294"/>
      <c r="D8" s="1294"/>
      <c r="E8" s="1294"/>
      <c r="F8" s="1294"/>
      <c r="G8" s="1294"/>
      <c r="H8" s="1294"/>
      <c r="L8" s="1202"/>
      <c r="M8" s="232" t="s">
        <v>42</v>
      </c>
      <c r="N8" s="241"/>
      <c r="O8" s="5372" t="str">
        <f>IF(TITLE_NAME_OR_PR_CHANGE="",IF(TITLE_NAME_OR_PR="","",TITLE_NAME_OR_PR),TITLE_NAME_OR_PR_CHANGE)</f>
        <v>Комитет по тарифам Санкт-Петербурга</v>
      </c>
      <c r="P8" s="5372"/>
      <c r="Q8" s="5372"/>
      <c r="R8" s="5372"/>
      <c r="S8" s="5372"/>
      <c r="T8" s="5372"/>
      <c r="U8" s="5372"/>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447</v>
      </c>
      <c r="N9" s="241"/>
      <c r="O9" s="5372">
        <f>IF(TITLE_DATE_CHANGE_PERIOD="",IF(TITLE_DATE_PR="","",TITLE_DATE_PR),TITLE_DATE_CHANGE_PERIOD)</f>
        <v>45474.417430555557</v>
      </c>
      <c r="P9" s="5372"/>
      <c r="Q9" s="5372"/>
      <c r="R9" s="5372"/>
      <c r="S9" s="5372"/>
      <c r="T9" s="5372"/>
      <c r="U9" s="5372"/>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448</v>
      </c>
      <c r="N10" s="241"/>
      <c r="O10" s="5372" t="str">
        <f>IF(TITLE_NUMBER_PR_CHANGE="",IF(TITLE_NUMBER_PR="","",TITLE_NUMBER_PR),TITLE_NUMBER_PR_CHANGE)</f>
        <v>94-р</v>
      </c>
      <c r="P10" s="5372"/>
      <c r="Q10" s="5372"/>
      <c r="R10" s="5372"/>
      <c r="S10" s="5372"/>
      <c r="T10" s="5372"/>
      <c r="U10" s="5372"/>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44</v>
      </c>
      <c r="N11" s="241"/>
      <c r="O11" s="5372" t="str">
        <f>IF(TITLE_IST_PUB_CHANGE="",IF(TITLE_IST_PUB="","",TITLE_IST_PUB),TITLE_IST_PUB_CHANGE)</f>
        <v>http://publication.pravo.gov.ru/document/7801202407010029</v>
      </c>
      <c r="P11" s="5372"/>
      <c r="Q11" s="5372"/>
      <c r="R11" s="5372"/>
      <c r="S11" s="5372"/>
      <c r="T11" s="5372"/>
      <c r="U11" s="5372"/>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5667"/>
      <c r="M12" s="5667"/>
      <c r="N12" s="1213"/>
      <c r="O12" s="263"/>
      <c r="P12" s="263"/>
      <c r="Q12" s="263"/>
      <c r="R12" s="263"/>
      <c r="S12" s="263"/>
      <c r="T12" s="263"/>
      <c r="U12" s="263"/>
      <c r="V12" s="215" t="s">
        <v>451</v>
      </c>
      <c r="Y12" s="304"/>
      <c r="Z12" s="304"/>
      <c r="AA12" s="304"/>
      <c r="AB12" s="304"/>
      <c r="AC12" s="304"/>
      <c r="AD12" s="354">
        <v>0</v>
      </c>
    </row>
    <row r="13" spans="1:30" ht="14.65" customHeight="1">
      <c r="J13" s="312"/>
      <c r="K13" s="312"/>
      <c r="L13" s="1201"/>
      <c r="M13" s="299"/>
      <c r="N13" s="1170"/>
      <c r="O13" s="5393"/>
      <c r="P13" s="5393"/>
      <c r="Q13" s="5393"/>
      <c r="R13" s="5393"/>
      <c r="S13" s="5393"/>
      <c r="T13" s="5393"/>
      <c r="U13" s="5393"/>
      <c r="V13" s="5393"/>
      <c r="AD13" s="1081">
        <v>14</v>
      </c>
    </row>
    <row r="14" spans="1:30" ht="14.65" customHeight="1">
      <c r="J14" s="312"/>
      <c r="K14" s="312"/>
      <c r="L14" s="5235" t="s">
        <v>327</v>
      </c>
      <c r="M14" s="5235"/>
      <c r="N14" s="5235"/>
      <c r="O14" s="5235"/>
      <c r="P14" s="5235"/>
      <c r="Q14" s="5235"/>
      <c r="R14" s="5235"/>
      <c r="S14" s="5235"/>
      <c r="T14" s="5235"/>
      <c r="U14" s="5235"/>
      <c r="V14" s="5235"/>
      <c r="W14" s="5235"/>
      <c r="X14" s="5235" t="s">
        <v>328</v>
      </c>
      <c r="AD14" s="1081">
        <v>14</v>
      </c>
    </row>
    <row r="15" spans="1:30" ht="14.65" customHeight="1">
      <c r="J15" s="312"/>
      <c r="K15" s="312"/>
      <c r="L15" s="5395" t="s">
        <v>90</v>
      </c>
      <c r="M15" s="5339" t="s">
        <v>452</v>
      </c>
      <c r="N15" s="238"/>
      <c r="O15" s="5396" t="s">
        <v>2263</v>
      </c>
      <c r="P15" s="5397"/>
      <c r="Q15" s="5397"/>
      <c r="R15" s="5397"/>
      <c r="S15" s="5397"/>
      <c r="T15" s="5397"/>
      <c r="U15" s="5398"/>
      <c r="V15" s="5399" t="s">
        <v>454</v>
      </c>
      <c r="W15" s="5402" t="s">
        <v>1186</v>
      </c>
      <c r="X15" s="5235"/>
      <c r="AD15" s="1081">
        <v>14</v>
      </c>
    </row>
    <row r="16" spans="1:30" ht="35.65" customHeight="1">
      <c r="J16" s="312"/>
      <c r="K16" s="312"/>
      <c r="L16" s="5395"/>
      <c r="M16" s="5339"/>
      <c r="N16" s="960"/>
      <c r="O16" s="5311" t="s">
        <v>457</v>
      </c>
      <c r="P16" s="5311" t="s">
        <v>458</v>
      </c>
      <c r="Q16" s="5217" t="s">
        <v>459</v>
      </c>
      <c r="R16" s="5216"/>
      <c r="S16" s="5217" t="s">
        <v>477</v>
      </c>
      <c r="T16" s="5222"/>
      <c r="U16" s="5216"/>
      <c r="V16" s="5400"/>
      <c r="W16" s="5403"/>
      <c r="X16" s="5235"/>
      <c r="AD16" s="1081">
        <v>34</v>
      </c>
    </row>
    <row r="17" spans="1:30" ht="35.65" customHeight="1">
      <c r="A17" s="1296" t="s">
        <v>136</v>
      </c>
      <c r="B17" s="1296" t="s">
        <v>137</v>
      </c>
      <c r="C17" s="1296" t="s">
        <v>138</v>
      </c>
      <c r="D17" s="1296" t="s">
        <v>139</v>
      </c>
      <c r="E17" s="1296"/>
      <c r="J17" s="312"/>
      <c r="K17" s="312"/>
      <c r="L17" s="5395"/>
      <c r="M17" s="5339"/>
      <c r="N17" s="239"/>
      <c r="O17" s="5364"/>
      <c r="P17" s="5364"/>
      <c r="Q17" s="1148" t="s">
        <v>468</v>
      </c>
      <c r="R17" s="1148" t="s">
        <v>469</v>
      </c>
      <c r="S17" s="1218" t="s">
        <v>470</v>
      </c>
      <c r="T17" s="5344" t="s">
        <v>471</v>
      </c>
      <c r="U17" s="5358"/>
      <c r="V17" s="5401"/>
      <c r="W17" s="5404"/>
      <c r="X17" s="5235"/>
      <c r="AD17" s="1081">
        <v>34</v>
      </c>
    </row>
    <row r="18" spans="1:30" s="1567" customFormat="1" ht="11.45" customHeight="1">
      <c r="A18" s="1296"/>
      <c r="B18" s="1296"/>
      <c r="C18" s="1296"/>
      <c r="D18" s="1296"/>
      <c r="E18" s="1296"/>
      <c r="F18" s="1288"/>
      <c r="G18" s="1288"/>
      <c r="H18" s="1288"/>
      <c r="I18" s="1172"/>
      <c r="J18" s="1173"/>
      <c r="K18" s="1180">
        <v>1</v>
      </c>
      <c r="L18" s="1203" t="s">
        <v>111</v>
      </c>
      <c r="M18" s="1181" t="s">
        <v>112</v>
      </c>
      <c r="N18" s="1171" t="str">
        <f ca="1">OFFSET(N18,0,-1)</f>
        <v>2</v>
      </c>
      <c r="O18" s="1215">
        <f ca="1">OFFSET(O18,0,-1)+1</f>
        <v>3</v>
      </c>
      <c r="P18" s="1215"/>
      <c r="Q18" s="1215">
        <f ca="1">OFFSET(Q18,0,-1)+1</f>
        <v>1</v>
      </c>
      <c r="R18" s="1215">
        <f ca="1">OFFSET(R18,0,-1)+1</f>
        <v>2</v>
      </c>
      <c r="S18" s="1215">
        <f ca="1">OFFSET(S18,0,-1)+1</f>
        <v>3</v>
      </c>
      <c r="T18" s="5392">
        <f ca="1">OFFSET(T18,0,-1)+1</f>
        <v>4</v>
      </c>
      <c r="U18" s="5392"/>
      <c r="V18" s="1215">
        <f ca="1">OFFSET(V18,0,-2)+1</f>
        <v>5</v>
      </c>
      <c r="W18" s="1171">
        <f ca="1">OFFSET(W18,0,-1)</f>
        <v>5</v>
      </c>
      <c r="X18" s="1215">
        <f ca="1">OFFSET(X18,0,-1)+1</f>
        <v>6</v>
      </c>
      <c r="Y18" s="447"/>
      <c r="Z18" s="447"/>
      <c r="AA18" s="447"/>
      <c r="AB18" s="447"/>
      <c r="AC18" s="447"/>
      <c r="AD18" s="432">
        <v>11</v>
      </c>
    </row>
    <row r="19" spans="1:30" ht="21" customHeight="1">
      <c r="A19" s="1289" t="s">
        <v>193</v>
      </c>
      <c r="B19" s="1289" t="s">
        <v>194</v>
      </c>
      <c r="C19" s="1289" t="s">
        <v>195</v>
      </c>
      <c r="D19" s="1289" t="s">
        <v>196</v>
      </c>
      <c r="E19" s="1289"/>
      <c r="F19" s="1291"/>
      <c r="G19" s="1291"/>
      <c r="H19" s="1291"/>
      <c r="I19" s="297"/>
      <c r="J19" s="296"/>
      <c r="K19" s="291"/>
      <c r="L19" s="1219">
        <f>INDEX(PT_DIFFERENTIATION_NUM_NTAR,MATCH(A19,PT_DIFFERENTIATION_NTAR_ID,0))</f>
        <v>1</v>
      </c>
      <c r="M19" s="235" t="s">
        <v>125</v>
      </c>
      <c r="N19" s="237"/>
      <c r="O19" s="5666" t="str">
        <f>INDEX(PT_DIFFERENTIATION_NTAR,MATCH(A19,PT_DIFFERENTIATION_NTAR_ID,0))</f>
        <v>Тариф на теплоноситель, поставляемый ПАО "ТГК-1" потребителям, расположенным на территории Санкт-Петербурга</v>
      </c>
      <c r="P19" s="5666"/>
      <c r="Q19" s="5666"/>
      <c r="R19" s="5666"/>
      <c r="S19" s="5666"/>
      <c r="T19" s="5666"/>
      <c r="U19" s="5666"/>
      <c r="V19" s="5666"/>
      <c r="W19" s="5666"/>
      <c r="X19" s="1184" t="s">
        <v>423</v>
      </c>
      <c r="Z19" s="436"/>
      <c r="AA19" s="436" t="str">
        <f t="shared" ref="AA19:AA32" si="0">IF(M19="","",M19)</f>
        <v>Наименование тарифа</v>
      </c>
      <c r="AB19" s="436"/>
      <c r="AC19" s="436"/>
      <c r="AD19" s="1081">
        <v>20</v>
      </c>
    </row>
    <row r="20" spans="1:30" ht="21" customHeight="1">
      <c r="A20" s="1289" t="s">
        <v>193</v>
      </c>
      <c r="B20" s="1289" t="s">
        <v>194</v>
      </c>
      <c r="C20" s="1289" t="s">
        <v>195</v>
      </c>
      <c r="D20" s="1289" t="s">
        <v>196</v>
      </c>
      <c r="E20" s="1289"/>
      <c r="F20" s="1291"/>
      <c r="G20" s="1291"/>
      <c r="H20" s="1291"/>
      <c r="I20" s="1216"/>
      <c r="J20" s="288"/>
      <c r="K20" s="289"/>
      <c r="L20" s="1219" t="str">
        <f>INDEX(PT_DIFFERENTIATION_NUM_TER,MATCH(B19,PT_DIFFERENTIATION_TER_ID,0))</f>
        <v>1.1</v>
      </c>
      <c r="M20" s="245" t="s">
        <v>424</v>
      </c>
      <c r="N20" s="237"/>
      <c r="O20" s="5666" t="str">
        <f>INDEX(PT_DIFFERENTIATION_TER,MATCH(B19,PT_DIFFERENTIATION_TER_ID,0))</f>
        <v>без дифференциации</v>
      </c>
      <c r="P20" s="5666"/>
      <c r="Q20" s="5666"/>
      <c r="R20" s="5666"/>
      <c r="S20" s="5666"/>
      <c r="T20" s="5666"/>
      <c r="U20" s="5666"/>
      <c r="V20" s="5666"/>
      <c r="W20" s="5666"/>
      <c r="X20" s="1184" t="s">
        <v>425</v>
      </c>
      <c r="Z20" s="436"/>
      <c r="AA20" s="436" t="str">
        <f t="shared" si="0"/>
        <v>Территория действия тарифа</v>
      </c>
      <c r="AB20" s="436"/>
      <c r="AC20" s="436"/>
      <c r="AD20" s="1081">
        <v>20</v>
      </c>
    </row>
    <row r="21" spans="1:30" ht="24" customHeight="1">
      <c r="A21" s="1289" t="s">
        <v>193</v>
      </c>
      <c r="B21" s="1289" t="s">
        <v>194</v>
      </c>
      <c r="C21" s="1289" t="s">
        <v>195</v>
      </c>
      <c r="D21" s="1289" t="s">
        <v>196</v>
      </c>
      <c r="E21" s="1289"/>
      <c r="F21" s="1291"/>
      <c r="G21" s="1291"/>
      <c r="H21" s="1291"/>
      <c r="I21" s="290"/>
      <c r="J21" s="288"/>
      <c r="K21" s="289"/>
      <c r="L21" s="1219" t="str">
        <f>INDEX(PT_DIFFERENTIATION_NUM_CS,MATCH(C19,PT_DIFFERENTIATION_CS_ID,0))</f>
        <v>1.1.1</v>
      </c>
      <c r="M21" s="246" t="s">
        <v>426</v>
      </c>
      <c r="N21" s="237"/>
      <c r="O21" s="5666" t="str">
        <f>INDEX(PT_DIFFERENTIATION_CS,MATCH(C19,PT_DIFFERENTIATION_CS_ID,0))</f>
        <v>без дифференциации</v>
      </c>
      <c r="P21" s="5666"/>
      <c r="Q21" s="5666"/>
      <c r="R21" s="5666"/>
      <c r="S21" s="5666"/>
      <c r="T21" s="5666"/>
      <c r="U21" s="5666"/>
      <c r="V21" s="5666"/>
      <c r="W21" s="5666"/>
      <c r="X21" s="1184" t="s">
        <v>427</v>
      </c>
      <c r="Z21" s="436"/>
      <c r="AA21" s="436" t="str">
        <f t="shared" si="0"/>
        <v xml:space="preserve">Наименование системы теплоснабжения </v>
      </c>
      <c r="AB21" s="436"/>
      <c r="AC21" s="436"/>
      <c r="AD21" s="1081">
        <v>23</v>
      </c>
    </row>
    <row r="22" spans="1:30" ht="21" customHeight="1">
      <c r="A22" s="1289" t="s">
        <v>193</v>
      </c>
      <c r="B22" s="1289" t="s">
        <v>194</v>
      </c>
      <c r="C22" s="1289" t="s">
        <v>195</v>
      </c>
      <c r="D22" s="1289" t="s">
        <v>196</v>
      </c>
      <c r="E22" s="1289"/>
      <c r="F22" s="1291"/>
      <c r="G22" s="1291"/>
      <c r="H22" s="1291"/>
      <c r="I22" s="290"/>
      <c r="J22" s="288"/>
      <c r="K22" s="289"/>
      <c r="L22" s="1219" t="str">
        <f>INDEX(PT_DIFFERENTIATION_NUM_IST_TE,MATCH(D19,PT_DIFFERENTIATION_IST_TE_ID,0))</f>
        <v>1.1.1.1</v>
      </c>
      <c r="M22" s="247" t="s">
        <v>428</v>
      </c>
      <c r="N22" s="237"/>
      <c r="O22" s="5666" t="str">
        <f>INDEX(PT_DIFFERENTIATION_IST_TE,MATCH(D19,PT_DIFFERENTIATION_IST_TE_ID,0))</f>
        <v>без дифференциации</v>
      </c>
      <c r="P22" s="5666"/>
      <c r="Q22" s="5666"/>
      <c r="R22" s="5666"/>
      <c r="S22" s="5666"/>
      <c r="T22" s="5666"/>
      <c r="U22" s="5666"/>
      <c r="V22" s="5666"/>
      <c r="W22" s="5666"/>
      <c r="X22" s="1184" t="s">
        <v>429</v>
      </c>
      <c r="Z22" s="436"/>
      <c r="AA22" s="436" t="str">
        <f t="shared" si="0"/>
        <v xml:space="preserve">Источник тепловой энергии  </v>
      </c>
      <c r="AB22" s="436"/>
      <c r="AC22" s="436"/>
      <c r="AD22" s="1081">
        <v>20</v>
      </c>
    </row>
    <row r="23" spans="1:30" ht="96.75" customHeight="1">
      <c r="A23" s="1289" t="s">
        <v>193</v>
      </c>
      <c r="B23" s="1289" t="s">
        <v>194</v>
      </c>
      <c r="C23" s="1289" t="s">
        <v>195</v>
      </c>
      <c r="D23" s="1289" t="s">
        <v>196</v>
      </c>
      <c r="E23" s="1289"/>
      <c r="F23" s="5356" t="str">
        <f>L22&amp;".1"</f>
        <v>1.1.1.1.1</v>
      </c>
      <c r="I23" s="5385">
        <v>1</v>
      </c>
      <c r="J23" s="1217"/>
      <c r="K23" s="292"/>
      <c r="L23" s="1219" t="str">
        <f>$F$23</f>
        <v>1.1.1.1.1</v>
      </c>
      <c r="M23" s="222" t="s">
        <v>431</v>
      </c>
      <c r="N23" s="237"/>
      <c r="O23" s="5424"/>
      <c r="P23" s="5424"/>
      <c r="Q23" s="5424"/>
      <c r="R23" s="5424"/>
      <c r="S23" s="5424"/>
      <c r="T23" s="5424"/>
      <c r="U23" s="5424"/>
      <c r="V23" s="5424"/>
      <c r="W23" s="5424"/>
      <c r="X23" s="1184" t="s">
        <v>432</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193</v>
      </c>
      <c r="B24" s="1289" t="s">
        <v>194</v>
      </c>
      <c r="C24" s="1289" t="s">
        <v>195</v>
      </c>
      <c r="D24" s="1289" t="s">
        <v>196</v>
      </c>
      <c r="E24" s="1289"/>
      <c r="F24" s="5356"/>
      <c r="G24" s="5356" t="str">
        <f>F23&amp;".1"</f>
        <v>1.1.1.1.1.1</v>
      </c>
      <c r="I24" s="5385"/>
      <c r="J24" s="5385">
        <v>1</v>
      </c>
      <c r="K24" s="293"/>
      <c r="L24" s="1219" t="str">
        <f>$G$24</f>
        <v>1.1.1.1.1.1</v>
      </c>
      <c r="M24" s="223" t="s">
        <v>434</v>
      </c>
      <c r="N24" s="237"/>
      <c r="O24" s="5366"/>
      <c r="P24" s="5367"/>
      <c r="Q24" s="5367"/>
      <c r="R24" s="5367"/>
      <c r="S24" s="5367"/>
      <c r="T24" s="5367"/>
      <c r="U24" s="5367"/>
      <c r="V24" s="5367"/>
      <c r="W24" s="5368"/>
      <c r="X24" s="1184" t="s">
        <v>435</v>
      </c>
      <c r="Z24" s="436"/>
      <c r="AA24" s="436" t="str">
        <f t="shared" si="0"/>
        <v>Группа потребителей</v>
      </c>
      <c r="AB24" s="436"/>
      <c r="AC24" s="436"/>
      <c r="AD24" s="1081">
        <v>82</v>
      </c>
    </row>
    <row r="25" spans="1:30" ht="11.45" customHeight="1">
      <c r="A25" s="1289" t="s">
        <v>193</v>
      </c>
      <c r="B25" s="1289" t="s">
        <v>194</v>
      </c>
      <c r="C25" s="1289" t="s">
        <v>195</v>
      </c>
      <c r="D25" s="1289" t="s">
        <v>196</v>
      </c>
      <c r="E25" s="1289"/>
      <c r="F25" s="5356"/>
      <c r="G25" s="5356"/>
      <c r="H25" s="5356" t="str">
        <f>G24&amp;".1"</f>
        <v>1.1.1.1.1.1.1</v>
      </c>
      <c r="I25" s="5385"/>
      <c r="J25" s="5385"/>
      <c r="K25" s="293">
        <v>1</v>
      </c>
      <c r="L25" s="1219" t="str">
        <f>$H$25</f>
        <v>1.1.1.1.1.1.1</v>
      </c>
      <c r="M25" s="1273"/>
      <c r="N25" s="237"/>
      <c r="O25" s="687"/>
      <c r="P25" s="262"/>
      <c r="Q25" s="687"/>
      <c r="R25" s="1183"/>
      <c r="S25" s="5386"/>
      <c r="T25" s="5245" t="s">
        <v>65</v>
      </c>
      <c r="U25" s="5386"/>
      <c r="V25" s="5245" t="s">
        <v>19</v>
      </c>
      <c r="W25" s="262"/>
      <c r="X25" s="5405" t="s">
        <v>437</v>
      </c>
      <c r="Y25" s="447" t="e">
        <f ca="1">STRCHECKDATE(O26:W26)</f>
        <v>#NAME?</v>
      </c>
      <c r="Z25" s="436"/>
      <c r="AA25" s="436" t="str">
        <f t="shared" si="0"/>
        <v/>
      </c>
      <c r="AB25" s="436"/>
      <c r="AC25" s="436"/>
      <c r="AD25" s="1081">
        <v>11</v>
      </c>
    </row>
    <row r="26" spans="1:30" ht="11.45" customHeight="1">
      <c r="A26" s="1289" t="s">
        <v>193</v>
      </c>
      <c r="B26" s="1289" t="s">
        <v>194</v>
      </c>
      <c r="C26" s="1289" t="s">
        <v>195</v>
      </c>
      <c r="D26" s="1289" t="s">
        <v>196</v>
      </c>
      <c r="E26" s="1289"/>
      <c r="F26" s="5356"/>
      <c r="G26" s="5356"/>
      <c r="H26" s="5356"/>
      <c r="I26" s="5385"/>
      <c r="J26" s="5385"/>
      <c r="K26" s="293"/>
      <c r="L26" s="1220"/>
      <c r="M26" s="237"/>
      <c r="N26" s="237"/>
      <c r="O26" s="262"/>
      <c r="P26" s="262"/>
      <c r="Q26" s="262"/>
      <c r="R26" s="265" t="str">
        <f>S25&amp;"-"&amp;U25</f>
        <v>-</v>
      </c>
      <c r="S26" s="5387"/>
      <c r="T26" s="5245"/>
      <c r="U26" s="5387"/>
      <c r="V26" s="5245"/>
      <c r="W26" s="262"/>
      <c r="X26" s="5406"/>
      <c r="Z26" s="436"/>
      <c r="AA26" s="436" t="str">
        <f t="shared" si="0"/>
        <v/>
      </c>
      <c r="AB26" s="436"/>
      <c r="AC26" s="436"/>
      <c r="AD26" s="1081">
        <v>11</v>
      </c>
    </row>
    <row r="27" spans="1:30" ht="15.75" customHeight="1">
      <c r="A27" s="1289" t="s">
        <v>193</v>
      </c>
      <c r="B27" s="1289" t="s">
        <v>194</v>
      </c>
      <c r="C27" s="1289" t="s">
        <v>195</v>
      </c>
      <c r="D27" s="1289" t="s">
        <v>196</v>
      </c>
      <c r="E27" s="1289"/>
      <c r="F27" s="5356"/>
      <c r="G27" s="5356"/>
      <c r="I27" s="5385"/>
      <c r="J27" s="5385"/>
      <c r="K27" s="292"/>
      <c r="L27" s="1204"/>
      <c r="M27" s="225" t="s">
        <v>438</v>
      </c>
      <c r="N27" s="303"/>
      <c r="O27" s="303"/>
      <c r="P27" s="303"/>
      <c r="Q27" s="303"/>
      <c r="R27" s="303"/>
      <c r="S27" s="303"/>
      <c r="T27" s="303"/>
      <c r="U27" s="303"/>
      <c r="V27" s="303"/>
      <c r="W27" s="261"/>
      <c r="X27" s="5407"/>
      <c r="Z27" s="436"/>
      <c r="AA27" s="436" t="str">
        <f t="shared" si="0"/>
        <v>Добавить вид теплоносителя (параметры теплоносителя)</v>
      </c>
      <c r="AB27" s="436"/>
      <c r="AC27" s="436"/>
      <c r="AD27" s="1081">
        <v>15</v>
      </c>
    </row>
    <row r="28" spans="1:30" ht="15.75" customHeight="1">
      <c r="A28" s="1289" t="s">
        <v>193</v>
      </c>
      <c r="B28" s="1289" t="s">
        <v>194</v>
      </c>
      <c r="C28" s="1289" t="s">
        <v>195</v>
      </c>
      <c r="D28" s="1289" t="s">
        <v>196</v>
      </c>
      <c r="E28" s="1289"/>
      <c r="F28" s="5356"/>
      <c r="I28" s="5385"/>
      <c r="J28" s="1217"/>
      <c r="K28" s="292"/>
      <c r="L28" s="1204"/>
      <c r="M28" s="224" t="s">
        <v>439</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193</v>
      </c>
      <c r="B29" s="1289" t="s">
        <v>194</v>
      </c>
      <c r="C29" s="1289" t="s">
        <v>195</v>
      </c>
      <c r="D29" s="1289" t="s">
        <v>196</v>
      </c>
      <c r="E29" s="1289"/>
      <c r="F29" s="1291"/>
      <c r="G29" s="1291"/>
      <c r="H29" s="473"/>
      <c r="I29" s="296"/>
      <c r="J29" s="311"/>
      <c r="K29" s="291"/>
      <c r="L29" s="1204"/>
      <c r="M29" s="301" t="s">
        <v>440</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193</v>
      </c>
      <c r="B30" s="1289" t="s">
        <v>194</v>
      </c>
      <c r="C30" s="1289" t="s">
        <v>195</v>
      </c>
      <c r="D30" s="1289"/>
      <c r="E30" s="1289" t="s">
        <v>618</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193</v>
      </c>
      <c r="B31" s="1289" t="s">
        <v>194</v>
      </c>
      <c r="C31" s="1289"/>
      <c r="D31" s="1289"/>
      <c r="E31" s="1289" t="s">
        <v>2264</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2265</v>
      </c>
      <c r="B32" s="1289"/>
      <c r="C32" s="1289"/>
      <c r="D32" s="1289"/>
      <c r="E32" s="1289" t="s">
        <v>106</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182</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835</v>
      </c>
      <c r="M35" s="5379" t="s">
        <v>2266</v>
      </c>
      <c r="N35" s="5379"/>
      <c r="O35" s="5379"/>
      <c r="P35" s="5379"/>
      <c r="Q35" s="5379"/>
      <c r="R35" s="5379"/>
      <c r="S35" s="5379"/>
      <c r="T35" s="5379"/>
      <c r="U35" s="5379"/>
      <c r="V35" s="5379"/>
      <c r="W35" s="5379"/>
      <c r="X35" s="5379"/>
      <c r="AD35" s="1081">
        <v>27</v>
      </c>
    </row>
    <row r="36" spans="1:30" ht="109.15" customHeight="1">
      <c r="H36" s="473"/>
      <c r="I36" s="1229"/>
      <c r="M36" s="5379" t="s">
        <v>2267</v>
      </c>
      <c r="N36" s="5379"/>
      <c r="O36" s="5379"/>
      <c r="P36" s="5379"/>
      <c r="Q36" s="5379"/>
      <c r="R36" s="5379"/>
      <c r="S36" s="5379"/>
      <c r="T36" s="5379"/>
      <c r="U36" s="5379"/>
      <c r="V36" s="5379"/>
      <c r="W36" s="5379"/>
      <c r="X36" s="5379"/>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84</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326</v>
      </c>
      <c r="J1" s="391" t="s">
        <v>14</v>
      </c>
    </row>
    <row r="2" spans="1:10" ht="11.25" hidden="1" customHeight="1">
      <c r="J2" s="391">
        <v>0</v>
      </c>
    </row>
    <row r="3" spans="1:10" s="413" customFormat="1" ht="11.45" customHeight="1">
      <c r="A3" s="1612"/>
      <c r="B3" s="437"/>
      <c r="D3" s="414"/>
      <c r="J3" s="413">
        <v>11</v>
      </c>
    </row>
    <row r="4" spans="1:10" ht="27.4" customHeight="1">
      <c r="D4" s="529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5291"/>
      <c r="F4" s="5292"/>
      <c r="I4" s="651"/>
      <c r="J4" s="391">
        <v>26</v>
      </c>
    </row>
    <row r="5" spans="1:10" ht="18" customHeight="1">
      <c r="D5" s="5331" t="str">
        <f>IF(org=0,"Не определено",org)</f>
        <v>ПАО "ТГК-1" филиал "Невский"</v>
      </c>
      <c r="E5" s="5331"/>
      <c r="F5" s="5331"/>
      <c r="I5" s="651"/>
      <c r="J5" s="391">
        <v>17</v>
      </c>
    </row>
    <row r="6" spans="1:10" s="413" customFormat="1" ht="11.45" customHeight="1">
      <c r="A6" s="1612"/>
      <c r="B6" s="437"/>
      <c r="D6" s="650"/>
      <c r="E6" s="650"/>
      <c r="F6" s="688"/>
      <c r="G6" s="650"/>
      <c r="J6" s="413">
        <v>11</v>
      </c>
    </row>
    <row r="7" spans="1:10" ht="11.25" hidden="1" customHeight="1">
      <c r="A7" s="393"/>
      <c r="B7" s="438"/>
      <c r="C7" s="393"/>
      <c r="D7" s="399"/>
      <c r="E7" s="5337"/>
      <c r="F7" s="5337"/>
      <c r="J7" s="391">
        <v>0</v>
      </c>
    </row>
    <row r="8" spans="1:10" ht="11.45" customHeight="1">
      <c r="A8" s="393"/>
      <c r="B8" s="438"/>
      <c r="C8" s="393"/>
      <c r="D8" s="5334" t="s">
        <v>327</v>
      </c>
      <c r="E8" s="5335"/>
      <c r="F8" s="5335"/>
      <c r="G8" s="5338" t="s">
        <v>328</v>
      </c>
      <c r="J8" s="391">
        <v>11</v>
      </c>
    </row>
    <row r="9" spans="1:10" ht="11.45" customHeight="1">
      <c r="A9" s="393"/>
      <c r="B9" s="438"/>
      <c r="C9" s="393"/>
      <c r="D9" s="408" t="s">
        <v>90</v>
      </c>
      <c r="E9" s="382" t="s">
        <v>329</v>
      </c>
      <c r="F9" s="382" t="s">
        <v>330</v>
      </c>
      <c r="G9" s="5339"/>
      <c r="J9" s="391">
        <v>11</v>
      </c>
    </row>
    <row r="10" spans="1:10" ht="12" hidden="1" customHeight="1">
      <c r="A10" s="393"/>
      <c r="B10" s="438"/>
      <c r="C10" s="393"/>
      <c r="D10" s="400"/>
      <c r="E10" s="400"/>
      <c r="F10" s="400"/>
      <c r="G10" s="400"/>
      <c r="J10" s="391">
        <v>0</v>
      </c>
    </row>
    <row r="11" spans="1:10" ht="22.5" hidden="1" customHeight="1">
      <c r="A11" s="393"/>
      <c r="B11" s="438"/>
      <c r="C11" s="393"/>
      <c r="D11" s="938" t="s">
        <v>111</v>
      </c>
      <c r="E11" s="941" t="s">
        <v>331</v>
      </c>
      <c r="F11" s="940" t="str">
        <f>IF(region_name="","",region_name)</f>
        <v>г.Санкт-Петербург</v>
      </c>
      <c r="G11" s="941" t="s">
        <v>332</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333</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334</v>
      </c>
      <c r="E14" s="939" t="s">
        <v>335</v>
      </c>
      <c r="F14" s="940" t="str">
        <f>IF(inn="","",inn)</f>
        <v>7841312071</v>
      </c>
      <c r="G14" s="941" t="s">
        <v>336</v>
      </c>
      <c r="H14" s="411"/>
      <c r="J14" s="391">
        <v>0</v>
      </c>
    </row>
    <row r="15" spans="1:10" ht="22.5" hidden="1" customHeight="1">
      <c r="A15" s="393"/>
      <c r="B15" s="438"/>
      <c r="C15" s="393"/>
      <c r="D15" s="938" t="s">
        <v>337</v>
      </c>
      <c r="E15" s="939" t="s">
        <v>338</v>
      </c>
      <c r="F15" s="940" t="str">
        <f>IF(kpp="","",kpp)</f>
        <v>781301001</v>
      </c>
      <c r="G15" s="941" t="s">
        <v>339</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7"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customHeight="1">
      <c r="A19" s="5332" t="s">
        <v>340</v>
      </c>
      <c r="B19" s="438"/>
      <c r="C19" s="5343"/>
      <c r="D19" s="381" t="str">
        <f>A19</f>
        <v>5.1</v>
      </c>
      <c r="E19" s="378" t="s">
        <v>341</v>
      </c>
      <c r="F19" s="379" t="s">
        <v>333</v>
      </c>
      <c r="G19" s="380" t="s">
        <v>342</v>
      </c>
      <c r="H19" s="411"/>
      <c r="I19" s="782"/>
      <c r="J19" s="391">
        <v>0</v>
      </c>
    </row>
    <row r="20" spans="1:10" ht="24" customHeight="1">
      <c r="A20" s="5332"/>
      <c r="B20" s="438"/>
      <c r="C20" s="5343"/>
      <c r="D20" s="376" t="str">
        <f>D19&amp;".1"</f>
        <v>5.1.1</v>
      </c>
      <c r="E20" s="375" t="s">
        <v>343</v>
      </c>
      <c r="F20" s="2201" t="s">
        <v>28</v>
      </c>
      <c r="G20" s="410"/>
      <c r="H20" s="411"/>
      <c r="I20" s="782"/>
      <c r="J20" s="391">
        <v>0</v>
      </c>
    </row>
    <row r="21" spans="1:10" ht="22.5" customHeight="1">
      <c r="A21" s="5332"/>
      <c r="B21" s="438"/>
      <c r="C21" s="5343"/>
      <c r="D21" s="376" t="str">
        <f>D19&amp;".2"</f>
        <v>5.1.2</v>
      </c>
      <c r="E21" s="375" t="s">
        <v>344</v>
      </c>
      <c r="F21" s="2036" t="s">
        <v>28</v>
      </c>
      <c r="G21" s="380" t="s">
        <v>345</v>
      </c>
      <c r="H21" s="411"/>
      <c r="I21" s="782"/>
      <c r="J21" s="391">
        <v>0</v>
      </c>
    </row>
    <row r="22" spans="1:10" ht="22.5" customHeight="1">
      <c r="A22" s="5332"/>
      <c r="B22" s="438"/>
      <c r="C22" s="5343"/>
      <c r="D22" s="376" t="str">
        <f>D19&amp;".3"</f>
        <v>5.1.3</v>
      </c>
      <c r="E22" s="375" t="s">
        <v>346</v>
      </c>
      <c r="F22" s="2201" t="s">
        <v>28</v>
      </c>
      <c r="G22" s="410"/>
      <c r="H22" s="411"/>
      <c r="I22" s="782"/>
      <c r="J22" s="391">
        <v>0</v>
      </c>
    </row>
    <row r="23" spans="1:10" ht="22.5" customHeight="1">
      <c r="A23" s="5332"/>
      <c r="B23" s="438"/>
      <c r="C23" s="5343"/>
      <c r="D23" s="376" t="str">
        <f>D19&amp;".4"</f>
        <v>5.1.4</v>
      </c>
      <c r="E23" s="375" t="s">
        <v>347</v>
      </c>
      <c r="F23" s="2201" t="s">
        <v>28</v>
      </c>
      <c r="G23" s="380" t="s">
        <v>348</v>
      </c>
      <c r="H23" s="411"/>
      <c r="I23" s="782"/>
      <c r="J23" s="391">
        <v>0</v>
      </c>
    </row>
    <row r="24" spans="1:10" ht="22.5" customHeight="1">
      <c r="A24" s="1899"/>
      <c r="B24" s="438"/>
      <c r="C24" s="428"/>
      <c r="D24" s="403"/>
      <c r="E24" s="1094" t="s">
        <v>349</v>
      </c>
      <c r="F24" s="404"/>
      <c r="G24" s="405"/>
      <c r="H24" s="411"/>
      <c r="I24" s="782"/>
      <c r="J24" s="391">
        <v>0</v>
      </c>
    </row>
    <row r="25" spans="1:10" s="437" customFormat="1" ht="24.75" hidden="1" customHeight="1">
      <c r="A25" s="393"/>
      <c r="B25" s="438"/>
      <c r="C25" s="438"/>
      <c r="D25" s="935" t="s">
        <v>92</v>
      </c>
      <c r="E25" s="937" t="s">
        <v>350</v>
      </c>
      <c r="F25" s="942" t="s">
        <v>333</v>
      </c>
      <c r="G25" s="937"/>
      <c r="J25" s="437">
        <v>0</v>
      </c>
    </row>
    <row r="26" spans="1:10" s="437" customFormat="1" ht="11.25" hidden="1" customHeight="1">
      <c r="A26" s="393"/>
      <c r="B26" s="438"/>
      <c r="C26" s="438"/>
      <c r="D26" s="935" t="s">
        <v>351</v>
      </c>
      <c r="E26" s="936" t="s">
        <v>352</v>
      </c>
      <c r="F26" s="942" t="s">
        <v>333</v>
      </c>
      <c r="G26" s="937"/>
      <c r="J26" s="437">
        <v>0</v>
      </c>
    </row>
    <row r="27" spans="1:10" s="437" customFormat="1" ht="11.25" hidden="1" customHeight="1">
      <c r="A27" s="393"/>
      <c r="B27" s="438"/>
      <c r="C27" s="438"/>
      <c r="D27" s="935" t="s">
        <v>353</v>
      </c>
      <c r="E27" s="943" t="s">
        <v>354</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355</v>
      </c>
      <c r="E28" s="943" t="s">
        <v>356</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357</v>
      </c>
      <c r="E29" s="943" t="s">
        <v>358</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359</v>
      </c>
      <c r="E30" s="936" t="s">
        <v>360</v>
      </c>
      <c r="F30" s="944"/>
      <c r="G30" s="937"/>
      <c r="J30" s="437">
        <v>0</v>
      </c>
    </row>
    <row r="31" spans="1:10" s="437" customFormat="1" ht="11.25" hidden="1" customHeight="1">
      <c r="A31" s="393"/>
      <c r="B31" s="438"/>
      <c r="C31" s="438"/>
      <c r="D31" s="935" t="s">
        <v>361</v>
      </c>
      <c r="E31" s="936" t="s">
        <v>362</v>
      </c>
      <c r="F31" s="944"/>
      <c r="G31" s="937"/>
      <c r="J31" s="437">
        <v>0</v>
      </c>
    </row>
    <row r="32" spans="1:10" s="437" customFormat="1" ht="11.25" hidden="1" customHeight="1">
      <c r="A32" s="393"/>
      <c r="B32" s="438"/>
      <c r="C32" s="438"/>
      <c r="D32" s="935" t="s">
        <v>363</v>
      </c>
      <c r="E32" s="936" t="s">
        <v>364</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333</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365</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365</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333</v>
      </c>
      <c r="G39" s="53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5341"/>
      <c r="H40" s="411"/>
      <c r="J40" s="391">
        <v>0</v>
      </c>
    </row>
    <row r="41" spans="1:10" ht="23.25" customHeight="1">
      <c r="A41" s="393"/>
      <c r="B41" s="393"/>
      <c r="C41" s="1614"/>
      <c r="D41" s="376" t="str">
        <f>D39&amp;".1"</f>
        <v>9.1</v>
      </c>
      <c r="E41" s="790"/>
      <c r="F41" s="791"/>
      <c r="G41" s="5341"/>
      <c r="H41" s="411"/>
      <c r="J41" s="391">
        <v>22</v>
      </c>
    </row>
    <row r="42" spans="1:10" ht="15.75" customHeight="1">
      <c r="A42" s="393"/>
      <c r="B42" s="438"/>
      <c r="C42" s="393"/>
      <c r="D42" s="403"/>
      <c r="E42" s="351" t="s">
        <v>366</v>
      </c>
      <c r="F42" s="405"/>
      <c r="G42" s="5342"/>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367</v>
      </c>
      <c r="H44" s="411"/>
      <c r="J44" s="391">
        <v>22</v>
      </c>
    </row>
    <row r="45" spans="1:10" ht="23.25" customHeight="1">
      <c r="A45" s="393"/>
      <c r="B45" s="438"/>
      <c r="C45" s="393"/>
      <c r="D45" s="376">
        <f>D44+1</f>
        <v>12</v>
      </c>
      <c r="E45" s="374" t="s">
        <v>368</v>
      </c>
      <c r="F45" s="379" t="s">
        <v>333</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369</v>
      </c>
      <c r="H46" s="411"/>
      <c r="J46" s="391">
        <v>23</v>
      </c>
    </row>
    <row r="47" spans="1:10" ht="24" customHeight="1">
      <c r="A47" s="5332"/>
      <c r="B47" s="438"/>
      <c r="C47" s="428"/>
      <c r="D47" s="376" t="str">
        <f>D45&amp;".2"</f>
        <v>12.2</v>
      </c>
      <c r="E47" s="378" t="s">
        <v>370</v>
      </c>
      <c r="F47" s="426"/>
      <c r="G47" s="373" t="s">
        <v>371</v>
      </c>
      <c r="H47" s="411"/>
      <c r="J47" s="391">
        <v>23</v>
      </c>
    </row>
    <row r="48" spans="1:10" ht="24" customHeight="1">
      <c r="A48" s="5332"/>
      <c r="B48" s="438"/>
      <c r="C48" s="428"/>
      <c r="D48" s="376" t="str">
        <f>D45&amp;".3"</f>
        <v>12.3</v>
      </c>
      <c r="E48" s="378" t="s">
        <v>372</v>
      </c>
      <c r="F48" s="426"/>
      <c r="G48" s="373" t="s">
        <v>373</v>
      </c>
      <c r="H48" s="411"/>
      <c r="J48" s="391">
        <v>23</v>
      </c>
    </row>
    <row r="49" spans="1:10" ht="24" customHeight="1">
      <c r="A49" s="5332"/>
      <c r="B49" s="438"/>
      <c r="C49" s="428"/>
      <c r="D49" s="376" t="str">
        <f>IF(TEMPLATE_SPHERE="TKO",D45&amp;".0",D45&amp;".4")</f>
        <v>12.4</v>
      </c>
      <c r="E49" s="372" t="s">
        <v>374</v>
      </c>
      <c r="F49" s="1611"/>
      <c r="G49" s="1687" t="s">
        <v>375</v>
      </c>
      <c r="H49" s="411"/>
      <c r="J49" s="391">
        <v>23</v>
      </c>
    </row>
    <row r="50" spans="1:10" ht="24" customHeight="1">
      <c r="A50" s="393"/>
      <c r="B50" s="438"/>
      <c r="C50" s="393"/>
      <c r="D50" s="403"/>
      <c r="E50" s="351" t="s">
        <v>376</v>
      </c>
      <c r="F50" s="404"/>
      <c r="G50" s="1687" t="s">
        <v>377</v>
      </c>
      <c r="H50" s="412"/>
      <c r="J50" s="391">
        <v>23</v>
      </c>
    </row>
    <row r="51" spans="1:10" ht="24" customHeight="1">
      <c r="A51" s="788"/>
      <c r="B51" s="438"/>
      <c r="C51" s="428"/>
      <c r="D51" s="376">
        <f>D45+1</f>
        <v>13</v>
      </c>
      <c r="E51" s="464" t="s">
        <v>378</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5333"/>
      <c r="D53" s="53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5336"/>
      <c r="F53" s="5336"/>
      <c r="G53" s="5336"/>
      <c r="H53" s="390"/>
      <c r="I53" s="390"/>
      <c r="J53" s="396">
        <v>30</v>
      </c>
    </row>
    <row r="54" spans="1:10" s="396" customFormat="1" ht="42" customHeight="1">
      <c r="A54" s="393"/>
      <c r="B54" s="438"/>
      <c r="C54" s="5333"/>
      <c r="D54" s="533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5336"/>
      <c r="F54" s="5336"/>
      <c r="G54" s="5336"/>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25" t="s">
        <v>2268</v>
      </c>
      <c r="B1" s="2026" t="s">
        <v>2269</v>
      </c>
      <c r="C1" s="5670" t="s">
        <v>2270</v>
      </c>
      <c r="D1" s="5671"/>
      <c r="E1" s="766" t="s">
        <v>2271</v>
      </c>
    </row>
    <row r="2" spans="1:5" ht="11.25" customHeight="1">
      <c r="A2" s="2027"/>
      <c r="B2" s="699" t="s">
        <v>26</v>
      </c>
      <c r="C2" s="689"/>
      <c r="D2" s="698"/>
      <c r="E2" s="766"/>
    </row>
    <row r="3" spans="1:5" ht="11.25" customHeight="1">
      <c r="A3" s="2028"/>
      <c r="B3" s="2029" t="s">
        <v>33</v>
      </c>
      <c r="C3" s="689"/>
      <c r="D3" s="698"/>
      <c r="E3" s="766"/>
    </row>
    <row r="4" spans="1:5" ht="11.25" customHeight="1">
      <c r="A4" s="2030"/>
      <c r="B4" s="700" t="s">
        <v>1693</v>
      </c>
      <c r="C4" s="689"/>
      <c r="D4" s="698"/>
      <c r="E4" s="766"/>
    </row>
    <row r="5" spans="1:5" ht="11.25" customHeight="1">
      <c r="A5" s="2031"/>
      <c r="B5" s="700" t="s">
        <v>1687</v>
      </c>
      <c r="C5" s="2032" t="s">
        <v>2035</v>
      </c>
      <c r="D5" s="2033" t="s">
        <v>2272</v>
      </c>
      <c r="E5" s="766"/>
    </row>
    <row r="6" spans="1:5" s="1774" customFormat="1" ht="11.25" customHeight="1">
      <c r="A6" s="2034"/>
      <c r="B6" s="700" t="s">
        <v>1697</v>
      </c>
      <c r="C6" s="689"/>
      <c r="D6" s="698"/>
      <c r="E6" s="766"/>
    </row>
    <row r="7" spans="1:5" ht="11.25" customHeight="1">
      <c r="A7" s="2035"/>
      <c r="B7" s="700" t="s">
        <v>1705</v>
      </c>
      <c r="C7" s="689"/>
      <c r="D7" s="698"/>
      <c r="E7" s="766"/>
    </row>
    <row r="8" spans="1:5" ht="11.25" customHeight="1">
      <c r="A8" s="691"/>
      <c r="B8" s="700" t="s">
        <v>1700</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08"/>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8" t="s">
        <v>2273</v>
      </c>
      <c r="B1" s="8" t="s">
        <v>2274</v>
      </c>
      <c r="C1" s="8" t="s">
        <v>2275</v>
      </c>
      <c r="D1" s="8" t="s">
        <v>2276</v>
      </c>
      <c r="E1" s="8" t="s">
        <v>2277</v>
      </c>
      <c r="F1" s="8" t="s">
        <v>2278</v>
      </c>
      <c r="G1" s="8" t="s">
        <v>2279</v>
      </c>
      <c r="H1" s="8" t="s">
        <v>2280</v>
      </c>
      <c r="I1" s="8" t="s">
        <v>2281</v>
      </c>
    </row>
    <row r="2" spans="1:9" ht="11.25" customHeight="1">
      <c r="A2" s="1774" t="s">
        <v>2282</v>
      </c>
      <c r="B2" s="1774" t="s">
        <v>16</v>
      </c>
      <c r="C2" s="1774" t="s">
        <v>2283</v>
      </c>
      <c r="D2" s="1774" t="s">
        <v>2284</v>
      </c>
      <c r="E2" s="1774" t="s">
        <v>2285</v>
      </c>
      <c r="F2" s="1774" t="s">
        <v>2286</v>
      </c>
      <c r="G2" s="1774" t="s">
        <v>28</v>
      </c>
      <c r="H2" s="1774" t="s">
        <v>28</v>
      </c>
      <c r="I2" s="1774" t="s">
        <v>839</v>
      </c>
    </row>
    <row r="3" spans="1:9" ht="11.25" customHeight="1">
      <c r="A3" s="1774" t="s">
        <v>2282</v>
      </c>
      <c r="B3" s="1774" t="s">
        <v>16</v>
      </c>
      <c r="C3" s="1774" t="s">
        <v>2287</v>
      </c>
      <c r="D3" s="1774" t="s">
        <v>2288</v>
      </c>
      <c r="E3" s="1774" t="s">
        <v>2289</v>
      </c>
      <c r="F3" s="1774" t="s">
        <v>55</v>
      </c>
      <c r="G3" s="1774" t="s">
        <v>28</v>
      </c>
      <c r="H3" s="1774" t="s">
        <v>28</v>
      </c>
      <c r="I3" s="1774" t="s">
        <v>839</v>
      </c>
    </row>
    <row r="4" spans="1:9" ht="11.25" customHeight="1">
      <c r="A4" s="1774" t="s">
        <v>2282</v>
      </c>
      <c r="B4" s="1774" t="s">
        <v>16</v>
      </c>
      <c r="C4" s="1774" t="s">
        <v>2290</v>
      </c>
      <c r="D4" s="1774" t="s">
        <v>2291</v>
      </c>
      <c r="E4" s="1774" t="s">
        <v>2292</v>
      </c>
      <c r="F4" s="1774" t="s">
        <v>2293</v>
      </c>
      <c r="G4" s="1774" t="s">
        <v>28</v>
      </c>
      <c r="H4" s="1774" t="s">
        <v>28</v>
      </c>
      <c r="I4" s="1774" t="s">
        <v>839</v>
      </c>
    </row>
    <row r="5" spans="1:9" ht="11.25" customHeight="1">
      <c r="A5" s="1774" t="s">
        <v>2282</v>
      </c>
      <c r="B5" s="1774" t="s">
        <v>16</v>
      </c>
      <c r="C5" s="1774" t="s">
        <v>2294</v>
      </c>
      <c r="D5" s="1774" t="s">
        <v>2295</v>
      </c>
      <c r="E5" s="1774" t="s">
        <v>2296</v>
      </c>
      <c r="F5" s="1774" t="s">
        <v>2297</v>
      </c>
      <c r="G5" s="1774" t="s">
        <v>28</v>
      </c>
      <c r="H5" s="1774" t="s">
        <v>28</v>
      </c>
      <c r="I5" s="1774" t="s">
        <v>839</v>
      </c>
    </row>
    <row r="6" spans="1:9" ht="11.25" customHeight="1">
      <c r="A6" s="1774" t="s">
        <v>2282</v>
      </c>
      <c r="B6" s="1774" t="s">
        <v>16</v>
      </c>
      <c r="C6" s="1774" t="s">
        <v>2298</v>
      </c>
      <c r="D6" s="1774" t="s">
        <v>2299</v>
      </c>
      <c r="E6" s="1774" t="s">
        <v>2300</v>
      </c>
      <c r="F6" s="1774" t="s">
        <v>2301</v>
      </c>
      <c r="G6" s="1774" t="s">
        <v>28</v>
      </c>
      <c r="H6" s="1774" t="s">
        <v>28</v>
      </c>
      <c r="I6" s="1774" t="s">
        <v>839</v>
      </c>
    </row>
    <row r="7" spans="1:9" ht="11.25" customHeight="1">
      <c r="A7" s="1774" t="s">
        <v>2282</v>
      </c>
      <c r="B7" s="1774" t="s">
        <v>16</v>
      </c>
      <c r="C7" s="1774" t="s">
        <v>2302</v>
      </c>
      <c r="D7" s="1774" t="s">
        <v>2303</v>
      </c>
      <c r="E7" s="1774" t="s">
        <v>2304</v>
      </c>
      <c r="F7" s="1774" t="s">
        <v>2301</v>
      </c>
      <c r="G7" s="1774" t="s">
        <v>28</v>
      </c>
      <c r="H7" s="1774" t="s">
        <v>2305</v>
      </c>
      <c r="I7" s="1774" t="s">
        <v>839</v>
      </c>
    </row>
    <row r="8" spans="1:9" ht="11.25" customHeight="1">
      <c r="A8" s="1774" t="s">
        <v>2282</v>
      </c>
      <c r="B8" s="1774" t="s">
        <v>16</v>
      </c>
      <c r="C8" s="1774" t="s">
        <v>2306</v>
      </c>
      <c r="D8" s="1774" t="s">
        <v>2307</v>
      </c>
      <c r="E8" s="1774" t="s">
        <v>2308</v>
      </c>
      <c r="F8" s="1774" t="s">
        <v>2309</v>
      </c>
      <c r="G8" s="1774" t="s">
        <v>28</v>
      </c>
      <c r="H8" s="1774" t="s">
        <v>28</v>
      </c>
      <c r="I8" s="1774" t="s">
        <v>839</v>
      </c>
    </row>
    <row r="9" spans="1:9" ht="11.25" customHeight="1">
      <c r="A9" s="1774" t="s">
        <v>2282</v>
      </c>
      <c r="B9" s="1774" t="s">
        <v>16</v>
      </c>
      <c r="C9" s="1774" t="s">
        <v>2310</v>
      </c>
      <c r="D9" s="1774" t="s">
        <v>2311</v>
      </c>
      <c r="E9" s="1774" t="s">
        <v>2312</v>
      </c>
      <c r="F9" s="1774" t="s">
        <v>2313</v>
      </c>
      <c r="G9" s="1774" t="s">
        <v>28</v>
      </c>
      <c r="H9" s="1774" t="s">
        <v>28</v>
      </c>
      <c r="I9" s="1774" t="s">
        <v>839</v>
      </c>
    </row>
    <row r="10" spans="1:9" ht="11.25" customHeight="1">
      <c r="A10" s="1774" t="s">
        <v>2282</v>
      </c>
      <c r="B10" s="1774" t="s">
        <v>16</v>
      </c>
      <c r="C10" s="1774" t="s">
        <v>2314</v>
      </c>
      <c r="D10" s="1774" t="s">
        <v>2315</v>
      </c>
      <c r="E10" s="1774" t="s">
        <v>2316</v>
      </c>
      <c r="F10" s="1774" t="s">
        <v>2317</v>
      </c>
      <c r="G10" s="1774" t="s">
        <v>2318</v>
      </c>
      <c r="H10" s="1774" t="s">
        <v>28</v>
      </c>
      <c r="I10" s="1774" t="s">
        <v>839</v>
      </c>
    </row>
    <row r="11" spans="1:9" ht="11.25" customHeight="1">
      <c r="A11" s="1774" t="s">
        <v>2282</v>
      </c>
      <c r="B11" s="1774" t="s">
        <v>16</v>
      </c>
      <c r="C11" s="1774" t="s">
        <v>2319</v>
      </c>
      <c r="D11" s="1774" t="s">
        <v>2315</v>
      </c>
      <c r="E11" s="1774" t="s">
        <v>2316</v>
      </c>
      <c r="F11" s="1774" t="s">
        <v>2320</v>
      </c>
      <c r="G11" s="1774" t="s">
        <v>28</v>
      </c>
      <c r="H11" s="1774" t="s">
        <v>28</v>
      </c>
      <c r="I11" s="1774" t="s">
        <v>839</v>
      </c>
    </row>
    <row r="12" spans="1:9" ht="11.25" customHeight="1">
      <c r="A12" s="1774" t="s">
        <v>2282</v>
      </c>
      <c r="B12" s="1774" t="s">
        <v>16</v>
      </c>
      <c r="C12" s="1774" t="s">
        <v>2321</v>
      </c>
      <c r="D12" s="1774" t="s">
        <v>2322</v>
      </c>
      <c r="E12" s="1774" t="s">
        <v>2323</v>
      </c>
      <c r="F12" s="1774" t="s">
        <v>2293</v>
      </c>
      <c r="G12" s="1774" t="s">
        <v>28</v>
      </c>
      <c r="H12" s="1774" t="s">
        <v>28</v>
      </c>
      <c r="I12" s="1774" t="s">
        <v>839</v>
      </c>
    </row>
    <row r="13" spans="1:9" ht="11.25" customHeight="1">
      <c r="A13" s="1774" t="s">
        <v>2282</v>
      </c>
      <c r="B13" s="1774" t="s">
        <v>16</v>
      </c>
      <c r="C13" s="1774" t="s">
        <v>2324</v>
      </c>
      <c r="D13" s="1774" t="s">
        <v>2325</v>
      </c>
      <c r="E13" s="1774" t="s">
        <v>2326</v>
      </c>
      <c r="F13" s="1774" t="s">
        <v>2297</v>
      </c>
      <c r="G13" s="1774" t="s">
        <v>28</v>
      </c>
      <c r="H13" s="1774" t="s">
        <v>28</v>
      </c>
      <c r="I13" s="1774" t="s">
        <v>839</v>
      </c>
    </row>
    <row r="14" spans="1:9" ht="11.25" customHeight="1">
      <c r="A14" s="1774" t="s">
        <v>2282</v>
      </c>
      <c r="B14" s="1774" t="s">
        <v>16</v>
      </c>
      <c r="C14" s="1774" t="s">
        <v>2327</v>
      </c>
      <c r="D14" s="1774" t="s">
        <v>2328</v>
      </c>
      <c r="E14" s="1774" t="s">
        <v>2329</v>
      </c>
      <c r="F14" s="1774" t="s">
        <v>2297</v>
      </c>
      <c r="G14" s="1774" t="s">
        <v>2330</v>
      </c>
      <c r="H14" s="1774" t="s">
        <v>28</v>
      </c>
      <c r="I14" s="1774" t="s">
        <v>839</v>
      </c>
    </row>
    <row r="15" spans="1:9" ht="11.25" customHeight="1">
      <c r="A15" s="1774" t="s">
        <v>2282</v>
      </c>
      <c r="B15" s="1774" t="s">
        <v>16</v>
      </c>
      <c r="C15" s="1774" t="s">
        <v>2331</v>
      </c>
      <c r="D15" s="1774" t="s">
        <v>2332</v>
      </c>
      <c r="E15" s="1774" t="s">
        <v>2333</v>
      </c>
      <c r="F15" s="1774" t="s">
        <v>55</v>
      </c>
      <c r="G15" s="1774" t="s">
        <v>28</v>
      </c>
      <c r="H15" s="1774" t="s">
        <v>28</v>
      </c>
      <c r="I15" s="1774" t="s">
        <v>839</v>
      </c>
    </row>
    <row r="16" spans="1:9" ht="11.25" customHeight="1">
      <c r="A16" s="1774" t="s">
        <v>2282</v>
      </c>
      <c r="B16" s="1774" t="s">
        <v>16</v>
      </c>
      <c r="C16" s="1774" t="s">
        <v>2334</v>
      </c>
      <c r="D16" s="1774" t="s">
        <v>2335</v>
      </c>
      <c r="E16" s="1774" t="s">
        <v>2336</v>
      </c>
      <c r="F16" s="1774" t="s">
        <v>2301</v>
      </c>
      <c r="G16" s="1774" t="s">
        <v>28</v>
      </c>
      <c r="H16" s="1774" t="s">
        <v>28</v>
      </c>
      <c r="I16" s="1774" t="s">
        <v>839</v>
      </c>
    </row>
    <row r="17" spans="1:9" ht="11.25" customHeight="1">
      <c r="A17" s="1774" t="s">
        <v>2282</v>
      </c>
      <c r="B17" s="1774" t="s">
        <v>16</v>
      </c>
      <c r="C17" s="1774" t="s">
        <v>2337</v>
      </c>
      <c r="D17" s="1774" t="s">
        <v>2338</v>
      </c>
      <c r="E17" s="1774" t="s">
        <v>2339</v>
      </c>
      <c r="F17" s="1774" t="s">
        <v>55</v>
      </c>
      <c r="G17" s="1774" t="s">
        <v>28</v>
      </c>
      <c r="H17" s="1774" t="s">
        <v>28</v>
      </c>
      <c r="I17" s="1774" t="s">
        <v>839</v>
      </c>
    </row>
    <row r="18" spans="1:9" ht="11.25" customHeight="1">
      <c r="A18" s="1774" t="s">
        <v>2282</v>
      </c>
      <c r="B18" s="1774" t="s">
        <v>16</v>
      </c>
      <c r="C18" s="1774" t="s">
        <v>2340</v>
      </c>
      <c r="D18" s="1774" t="s">
        <v>2341</v>
      </c>
      <c r="E18" s="1774" t="s">
        <v>2342</v>
      </c>
      <c r="F18" s="1774" t="s">
        <v>2286</v>
      </c>
      <c r="G18" s="1774" t="s">
        <v>28</v>
      </c>
      <c r="H18" s="1774" t="s">
        <v>28</v>
      </c>
      <c r="I18" s="1774" t="s">
        <v>839</v>
      </c>
    </row>
    <row r="19" spans="1:9" ht="11.25" customHeight="1">
      <c r="A19" s="1774" t="s">
        <v>2282</v>
      </c>
      <c r="B19" s="1774" t="s">
        <v>16</v>
      </c>
      <c r="C19" s="1774" t="s">
        <v>2343</v>
      </c>
      <c r="D19" s="1774" t="s">
        <v>2344</v>
      </c>
      <c r="E19" s="1774" t="s">
        <v>2345</v>
      </c>
      <c r="F19" s="1774" t="s">
        <v>2346</v>
      </c>
      <c r="G19" s="1774" t="s">
        <v>28</v>
      </c>
      <c r="H19" s="1774" t="s">
        <v>28</v>
      </c>
      <c r="I19" s="1774" t="s">
        <v>839</v>
      </c>
    </row>
    <row r="20" spans="1:9" ht="11.25" customHeight="1">
      <c r="A20" s="1774" t="s">
        <v>2282</v>
      </c>
      <c r="B20" s="1774" t="s">
        <v>16</v>
      </c>
      <c r="C20" s="1774" t="s">
        <v>2347</v>
      </c>
      <c r="D20" s="1774" t="s">
        <v>2348</v>
      </c>
      <c r="E20" s="1774" t="s">
        <v>2349</v>
      </c>
      <c r="F20" s="1774" t="s">
        <v>2350</v>
      </c>
      <c r="G20" s="1774" t="s">
        <v>28</v>
      </c>
      <c r="H20" s="1774" t="s">
        <v>28</v>
      </c>
      <c r="I20" s="1774" t="s">
        <v>839</v>
      </c>
    </row>
    <row r="21" spans="1:9" ht="11.25" customHeight="1">
      <c r="A21" s="1774" t="s">
        <v>2282</v>
      </c>
      <c r="B21" s="1774" t="s">
        <v>16</v>
      </c>
      <c r="C21" s="1774" t="s">
        <v>2351</v>
      </c>
      <c r="D21" s="1774" t="s">
        <v>2352</v>
      </c>
      <c r="E21" s="1774" t="s">
        <v>2353</v>
      </c>
      <c r="F21" s="1774" t="s">
        <v>2354</v>
      </c>
      <c r="G21" s="1774" t="s">
        <v>28</v>
      </c>
      <c r="H21" s="1774" t="s">
        <v>28</v>
      </c>
      <c r="I21" s="1774" t="s">
        <v>839</v>
      </c>
    </row>
    <row r="22" spans="1:9" ht="11.25" customHeight="1">
      <c r="A22" s="1774" t="s">
        <v>2282</v>
      </c>
      <c r="B22" s="1774" t="s">
        <v>16</v>
      </c>
      <c r="C22" s="1774" t="s">
        <v>2355</v>
      </c>
      <c r="D22" s="1774" t="s">
        <v>2356</v>
      </c>
      <c r="E22" s="1774" t="s">
        <v>2357</v>
      </c>
      <c r="F22" s="1774" t="s">
        <v>2354</v>
      </c>
      <c r="G22" s="1774" t="s">
        <v>28</v>
      </c>
      <c r="H22" s="1774" t="s">
        <v>28</v>
      </c>
      <c r="I22" s="1774" t="s">
        <v>839</v>
      </c>
    </row>
    <row r="23" spans="1:9" ht="11.25" customHeight="1">
      <c r="A23" s="1774" t="s">
        <v>2282</v>
      </c>
      <c r="B23" s="1774" t="s">
        <v>16</v>
      </c>
      <c r="C23" s="1774" t="s">
        <v>2358</v>
      </c>
      <c r="D23" s="1774" t="s">
        <v>2359</v>
      </c>
      <c r="E23" s="1774" t="s">
        <v>2360</v>
      </c>
      <c r="F23" s="1774" t="s">
        <v>2361</v>
      </c>
      <c r="G23" s="1774" t="s">
        <v>28</v>
      </c>
      <c r="H23" s="1774" t="s">
        <v>28</v>
      </c>
      <c r="I23" s="1774" t="s">
        <v>839</v>
      </c>
    </row>
    <row r="24" spans="1:9" ht="11.25" customHeight="1">
      <c r="A24" s="1774" t="s">
        <v>2282</v>
      </c>
      <c r="B24" s="1774" t="s">
        <v>16</v>
      </c>
      <c r="C24" s="1774" t="s">
        <v>2362</v>
      </c>
      <c r="D24" s="1774" t="s">
        <v>2363</v>
      </c>
      <c r="E24" s="1774" t="s">
        <v>2364</v>
      </c>
      <c r="F24" s="1774" t="s">
        <v>2365</v>
      </c>
      <c r="G24" s="1774" t="s">
        <v>28</v>
      </c>
      <c r="H24" s="1774" t="s">
        <v>28</v>
      </c>
      <c r="I24" s="1774" t="s">
        <v>839</v>
      </c>
    </row>
    <row r="25" spans="1:9" ht="11.25" customHeight="1">
      <c r="A25" s="1774" t="s">
        <v>2282</v>
      </c>
      <c r="B25" s="1774" t="s">
        <v>16</v>
      </c>
      <c r="C25" s="1774" t="s">
        <v>2366</v>
      </c>
      <c r="D25" s="1774" t="s">
        <v>2367</v>
      </c>
      <c r="E25" s="1774" t="s">
        <v>2368</v>
      </c>
      <c r="F25" s="1774" t="s">
        <v>2286</v>
      </c>
      <c r="G25" s="1774" t="s">
        <v>28</v>
      </c>
      <c r="H25" s="1774" t="s">
        <v>28</v>
      </c>
      <c r="I25" s="1774" t="s">
        <v>839</v>
      </c>
    </row>
    <row r="26" spans="1:9" ht="11.25" customHeight="1">
      <c r="A26" s="1774" t="s">
        <v>2282</v>
      </c>
      <c r="B26" s="1774" t="s">
        <v>16</v>
      </c>
      <c r="C26" s="1774" t="s">
        <v>2369</v>
      </c>
      <c r="D26" s="1774" t="s">
        <v>2370</v>
      </c>
      <c r="E26" s="1774" t="s">
        <v>2371</v>
      </c>
      <c r="F26" s="1774" t="s">
        <v>55</v>
      </c>
      <c r="G26" s="1774" t="s">
        <v>28</v>
      </c>
      <c r="H26" s="1774" t="s">
        <v>28</v>
      </c>
      <c r="I26" s="1774" t="s">
        <v>839</v>
      </c>
    </row>
    <row r="27" spans="1:9" ht="11.25" customHeight="1">
      <c r="A27" s="1774" t="s">
        <v>2282</v>
      </c>
      <c r="B27" s="1774" t="s">
        <v>16</v>
      </c>
      <c r="C27" s="1774" t="s">
        <v>2372</v>
      </c>
      <c r="D27" s="1774" t="s">
        <v>2373</v>
      </c>
      <c r="E27" s="1774" t="s">
        <v>2374</v>
      </c>
      <c r="F27" s="1774" t="s">
        <v>2286</v>
      </c>
      <c r="G27" s="1774" t="s">
        <v>28</v>
      </c>
      <c r="H27" s="1774" t="s">
        <v>28</v>
      </c>
      <c r="I27" s="1774" t="s">
        <v>839</v>
      </c>
    </row>
    <row r="28" spans="1:9" ht="11.25" customHeight="1">
      <c r="A28" s="1774" t="s">
        <v>2282</v>
      </c>
      <c r="B28" s="1774" t="s">
        <v>16</v>
      </c>
      <c r="C28" s="1774" t="s">
        <v>2375</v>
      </c>
      <c r="D28" s="1774" t="s">
        <v>2376</v>
      </c>
      <c r="E28" s="1774" t="s">
        <v>2377</v>
      </c>
      <c r="F28" s="1774" t="s">
        <v>2354</v>
      </c>
      <c r="G28" s="1774" t="s">
        <v>2378</v>
      </c>
      <c r="H28" s="1774" t="s">
        <v>28</v>
      </c>
      <c r="I28" s="1774" t="s">
        <v>839</v>
      </c>
    </row>
    <row r="29" spans="1:9" ht="11.25" customHeight="1">
      <c r="A29" s="1774" t="s">
        <v>2282</v>
      </c>
      <c r="B29" s="1774" t="s">
        <v>16</v>
      </c>
      <c r="C29" s="1774" t="s">
        <v>2379</v>
      </c>
      <c r="D29" s="1774" t="s">
        <v>2380</v>
      </c>
      <c r="E29" s="1774" t="s">
        <v>2381</v>
      </c>
      <c r="F29" s="1774" t="s">
        <v>2382</v>
      </c>
      <c r="G29" s="1774" t="s">
        <v>28</v>
      </c>
      <c r="H29" s="1774" t="s">
        <v>2383</v>
      </c>
      <c r="I29" s="1774" t="s">
        <v>839</v>
      </c>
    </row>
    <row r="30" spans="1:9" ht="11.25" customHeight="1">
      <c r="A30" s="1774" t="s">
        <v>2282</v>
      </c>
      <c r="B30" s="1774" t="s">
        <v>16</v>
      </c>
      <c r="C30" s="1774" t="s">
        <v>2384</v>
      </c>
      <c r="D30" s="1774" t="s">
        <v>2385</v>
      </c>
      <c r="E30" s="1774" t="s">
        <v>2386</v>
      </c>
      <c r="F30" s="1774" t="s">
        <v>2387</v>
      </c>
      <c r="G30" s="1774" t="s">
        <v>28</v>
      </c>
      <c r="H30" s="1774" t="s">
        <v>28</v>
      </c>
      <c r="I30" s="1774" t="s">
        <v>839</v>
      </c>
    </row>
    <row r="31" spans="1:9" ht="11.25" customHeight="1">
      <c r="A31" s="1774" t="s">
        <v>2282</v>
      </c>
      <c r="B31" s="1774" t="s">
        <v>16</v>
      </c>
      <c r="C31" s="1774" t="s">
        <v>2388</v>
      </c>
      <c r="D31" s="1774" t="s">
        <v>2389</v>
      </c>
      <c r="E31" s="1774" t="s">
        <v>2390</v>
      </c>
      <c r="F31" s="1774" t="s">
        <v>2391</v>
      </c>
      <c r="G31" s="1774" t="s">
        <v>28</v>
      </c>
      <c r="H31" s="1774" t="s">
        <v>28</v>
      </c>
      <c r="I31" s="1774" t="s">
        <v>839</v>
      </c>
    </row>
    <row r="32" spans="1:9" ht="11.25" customHeight="1">
      <c r="A32" s="1774" t="s">
        <v>2282</v>
      </c>
      <c r="B32" s="1774" t="s">
        <v>16</v>
      </c>
      <c r="C32" s="1774" t="s">
        <v>2392</v>
      </c>
      <c r="D32" s="1774" t="s">
        <v>2393</v>
      </c>
      <c r="E32" s="1774" t="s">
        <v>2394</v>
      </c>
      <c r="F32" s="1774" t="s">
        <v>2313</v>
      </c>
      <c r="G32" s="1774" t="s">
        <v>28</v>
      </c>
      <c r="H32" s="1774" t="s">
        <v>28</v>
      </c>
      <c r="I32" s="1774" t="s">
        <v>839</v>
      </c>
    </row>
    <row r="33" spans="1:9" ht="11.25" customHeight="1">
      <c r="A33" s="1774" t="s">
        <v>2282</v>
      </c>
      <c r="B33" s="1774" t="s">
        <v>16</v>
      </c>
      <c r="C33" s="1774" t="s">
        <v>2395</v>
      </c>
      <c r="D33" s="1774" t="s">
        <v>2396</v>
      </c>
      <c r="E33" s="1774" t="s">
        <v>2397</v>
      </c>
      <c r="F33" s="1774" t="s">
        <v>2398</v>
      </c>
      <c r="G33" s="1774" t="s">
        <v>28</v>
      </c>
      <c r="H33" s="1774" t="s">
        <v>28</v>
      </c>
      <c r="I33" s="1774" t="s">
        <v>839</v>
      </c>
    </row>
    <row r="34" spans="1:9" ht="11.25" customHeight="1">
      <c r="A34" s="1774" t="s">
        <v>2282</v>
      </c>
      <c r="B34" s="1774" t="s">
        <v>16</v>
      </c>
      <c r="C34" s="1774" t="s">
        <v>2399</v>
      </c>
      <c r="D34" s="1774" t="s">
        <v>2400</v>
      </c>
      <c r="E34" s="1774" t="s">
        <v>2401</v>
      </c>
      <c r="F34" s="1774" t="s">
        <v>2301</v>
      </c>
      <c r="G34" s="1774" t="s">
        <v>28</v>
      </c>
      <c r="H34" s="1774" t="s">
        <v>28</v>
      </c>
      <c r="I34" s="1774" t="s">
        <v>839</v>
      </c>
    </row>
    <row r="35" spans="1:9" ht="11.25" customHeight="1">
      <c r="A35" s="1774" t="s">
        <v>2282</v>
      </c>
      <c r="B35" s="1774" t="s">
        <v>16</v>
      </c>
      <c r="C35" s="1774" t="s">
        <v>2402</v>
      </c>
      <c r="D35" s="1774" t="s">
        <v>2403</v>
      </c>
      <c r="E35" s="1774" t="s">
        <v>2404</v>
      </c>
      <c r="F35" s="1774" t="s">
        <v>2354</v>
      </c>
      <c r="G35" s="1774" t="s">
        <v>28</v>
      </c>
      <c r="H35" s="1774" t="s">
        <v>28</v>
      </c>
      <c r="I35" s="1774" t="s">
        <v>839</v>
      </c>
    </row>
    <row r="36" spans="1:9" ht="11.25" customHeight="1">
      <c r="A36" s="1774" t="s">
        <v>2282</v>
      </c>
      <c r="B36" s="1774" t="s">
        <v>16</v>
      </c>
      <c r="C36" s="1774" t="s">
        <v>2405</v>
      </c>
      <c r="D36" s="1774" t="s">
        <v>2406</v>
      </c>
      <c r="E36" s="1774" t="s">
        <v>2407</v>
      </c>
      <c r="F36" s="1774" t="s">
        <v>2346</v>
      </c>
      <c r="G36" s="1774" t="s">
        <v>28</v>
      </c>
      <c r="H36" s="1774" t="s">
        <v>28</v>
      </c>
      <c r="I36" s="1774" t="s">
        <v>839</v>
      </c>
    </row>
    <row r="37" spans="1:9" ht="11.25" customHeight="1">
      <c r="A37" s="1774" t="s">
        <v>2282</v>
      </c>
      <c r="B37" s="1774" t="s">
        <v>16</v>
      </c>
      <c r="C37" s="1774" t="s">
        <v>2408</v>
      </c>
      <c r="D37" s="1774" t="s">
        <v>2409</v>
      </c>
      <c r="E37" s="1774" t="s">
        <v>2410</v>
      </c>
      <c r="F37" s="1774" t="s">
        <v>2286</v>
      </c>
      <c r="G37" s="1774" t="s">
        <v>2411</v>
      </c>
      <c r="H37" s="1774" t="s">
        <v>28</v>
      </c>
      <c r="I37" s="1774" t="s">
        <v>839</v>
      </c>
    </row>
    <row r="38" spans="1:9" ht="11.25" customHeight="1">
      <c r="A38" s="1774" t="s">
        <v>2282</v>
      </c>
      <c r="B38" s="1774" t="s">
        <v>16</v>
      </c>
      <c r="C38" s="1774" t="s">
        <v>2412</v>
      </c>
      <c r="D38" s="1774" t="s">
        <v>2413</v>
      </c>
      <c r="E38" s="1774" t="s">
        <v>2414</v>
      </c>
      <c r="F38" s="1774" t="s">
        <v>2293</v>
      </c>
      <c r="G38" s="1774" t="s">
        <v>28</v>
      </c>
      <c r="H38" s="1774" t="s">
        <v>28</v>
      </c>
      <c r="I38" s="1774" t="s">
        <v>839</v>
      </c>
    </row>
    <row r="39" spans="1:9" ht="11.25" customHeight="1">
      <c r="A39" s="1774" t="s">
        <v>2282</v>
      </c>
      <c r="B39" s="1774" t="s">
        <v>16</v>
      </c>
      <c r="C39" s="1774" t="s">
        <v>2415</v>
      </c>
      <c r="D39" s="1774" t="s">
        <v>2416</v>
      </c>
      <c r="E39" s="1774" t="s">
        <v>2417</v>
      </c>
      <c r="F39" s="1774" t="s">
        <v>55</v>
      </c>
      <c r="G39" s="1774" t="s">
        <v>28</v>
      </c>
      <c r="H39" s="1774" t="s">
        <v>28</v>
      </c>
      <c r="I39" s="1774" t="s">
        <v>839</v>
      </c>
    </row>
    <row r="40" spans="1:9" ht="11.25" customHeight="1">
      <c r="A40" s="1774" t="s">
        <v>2282</v>
      </c>
      <c r="B40" s="1774" t="s">
        <v>16</v>
      </c>
      <c r="C40" s="1774" t="s">
        <v>2418</v>
      </c>
      <c r="D40" s="1774" t="s">
        <v>2419</v>
      </c>
      <c r="E40" s="1774" t="s">
        <v>2420</v>
      </c>
      <c r="F40" s="1774" t="s">
        <v>2293</v>
      </c>
      <c r="G40" s="1774" t="s">
        <v>28</v>
      </c>
      <c r="H40" s="1774" t="s">
        <v>28</v>
      </c>
      <c r="I40" s="1774" t="s">
        <v>839</v>
      </c>
    </row>
    <row r="41" spans="1:9" ht="11.25" customHeight="1">
      <c r="A41" s="1774" t="s">
        <v>2282</v>
      </c>
      <c r="B41" s="1774" t="s">
        <v>16</v>
      </c>
      <c r="C41" s="1774" t="s">
        <v>2421</v>
      </c>
      <c r="D41" s="1774" t="s">
        <v>2422</v>
      </c>
      <c r="E41" s="1774" t="s">
        <v>2423</v>
      </c>
      <c r="F41" s="1774" t="s">
        <v>2424</v>
      </c>
      <c r="G41" s="1774" t="s">
        <v>28</v>
      </c>
      <c r="H41" s="1774" t="s">
        <v>28</v>
      </c>
      <c r="I41" s="1774" t="s">
        <v>839</v>
      </c>
    </row>
    <row r="42" spans="1:9" ht="11.25" customHeight="1">
      <c r="A42" s="1774" t="s">
        <v>2282</v>
      </c>
      <c r="B42" s="1774" t="s">
        <v>16</v>
      </c>
      <c r="C42" s="1774" t="s">
        <v>2425</v>
      </c>
      <c r="D42" s="1774" t="s">
        <v>2426</v>
      </c>
      <c r="E42" s="1774" t="s">
        <v>2427</v>
      </c>
      <c r="F42" s="1774" t="s">
        <v>2286</v>
      </c>
      <c r="G42" s="1774" t="s">
        <v>28</v>
      </c>
      <c r="H42" s="1774" t="s">
        <v>28</v>
      </c>
      <c r="I42" s="1774" t="s">
        <v>839</v>
      </c>
    </row>
    <row r="43" spans="1:9" ht="11.25" customHeight="1">
      <c r="A43" s="1774" t="s">
        <v>2282</v>
      </c>
      <c r="B43" s="1774" t="s">
        <v>16</v>
      </c>
      <c r="C43" s="1774" t="s">
        <v>2428</v>
      </c>
      <c r="D43" s="1774" t="s">
        <v>2429</v>
      </c>
      <c r="E43" s="1774" t="s">
        <v>2430</v>
      </c>
      <c r="F43" s="1774" t="s">
        <v>2301</v>
      </c>
      <c r="G43" s="1774" t="s">
        <v>28</v>
      </c>
      <c r="H43" s="1774" t="s">
        <v>28</v>
      </c>
      <c r="I43" s="1774" t="s">
        <v>839</v>
      </c>
    </row>
    <row r="44" spans="1:9" ht="11.25" customHeight="1">
      <c r="A44" s="1774" t="s">
        <v>2282</v>
      </c>
      <c r="B44" s="1774" t="s">
        <v>16</v>
      </c>
      <c r="C44" s="1774" t="s">
        <v>2431</v>
      </c>
      <c r="D44" s="1774" t="s">
        <v>2432</v>
      </c>
      <c r="E44" s="1774" t="s">
        <v>2316</v>
      </c>
      <c r="F44" s="1774" t="s">
        <v>2433</v>
      </c>
      <c r="G44" s="1774" t="s">
        <v>2434</v>
      </c>
      <c r="H44" s="1774" t="s">
        <v>28</v>
      </c>
      <c r="I44" s="1774" t="s">
        <v>839</v>
      </c>
    </row>
    <row r="45" spans="1:9" ht="11.25" customHeight="1">
      <c r="A45" s="1774" t="s">
        <v>2282</v>
      </c>
      <c r="B45" s="1774" t="s">
        <v>16</v>
      </c>
      <c r="C45" s="1774" t="s">
        <v>2435</v>
      </c>
      <c r="D45" s="1774" t="s">
        <v>2436</v>
      </c>
      <c r="E45" s="1774" t="s">
        <v>2437</v>
      </c>
      <c r="F45" s="1774" t="s">
        <v>2301</v>
      </c>
      <c r="G45" s="1774" t="s">
        <v>2438</v>
      </c>
      <c r="H45" s="1774" t="s">
        <v>28</v>
      </c>
      <c r="I45" s="1774" t="s">
        <v>839</v>
      </c>
    </row>
    <row r="46" spans="1:9" ht="11.25" customHeight="1">
      <c r="A46" s="1774" t="s">
        <v>2282</v>
      </c>
      <c r="B46" s="1774" t="s">
        <v>16</v>
      </c>
      <c r="C46" s="1774" t="s">
        <v>2439</v>
      </c>
      <c r="D46" s="1774" t="s">
        <v>2440</v>
      </c>
      <c r="E46" s="1774" t="s">
        <v>2441</v>
      </c>
      <c r="F46" s="1774" t="s">
        <v>2293</v>
      </c>
      <c r="G46" s="1774" t="s">
        <v>28</v>
      </c>
      <c r="H46" s="1774" t="s">
        <v>28</v>
      </c>
      <c r="I46" s="1774" t="s">
        <v>839</v>
      </c>
    </row>
    <row r="47" spans="1:9" ht="11.25" customHeight="1">
      <c r="A47" s="1774" t="s">
        <v>2282</v>
      </c>
      <c r="B47" s="1774" t="s">
        <v>16</v>
      </c>
      <c r="C47" s="1774" t="s">
        <v>2442</v>
      </c>
      <c r="D47" s="1774" t="s">
        <v>2443</v>
      </c>
      <c r="E47" s="1774" t="s">
        <v>2444</v>
      </c>
      <c r="F47" s="1774" t="s">
        <v>2445</v>
      </c>
      <c r="G47" s="1774" t="s">
        <v>28</v>
      </c>
      <c r="H47" s="1774" t="s">
        <v>28</v>
      </c>
      <c r="I47" s="1774" t="s">
        <v>839</v>
      </c>
    </row>
    <row r="48" spans="1:9" ht="11.25" customHeight="1">
      <c r="A48" s="1774" t="s">
        <v>2282</v>
      </c>
      <c r="B48" s="1774" t="s">
        <v>16</v>
      </c>
      <c r="C48" s="1774" t="s">
        <v>2446</v>
      </c>
      <c r="D48" s="1774" t="s">
        <v>2447</v>
      </c>
      <c r="E48" s="1774" t="s">
        <v>2448</v>
      </c>
      <c r="F48" s="1774" t="s">
        <v>2354</v>
      </c>
      <c r="G48" s="1774" t="s">
        <v>28</v>
      </c>
      <c r="H48" s="1774" t="s">
        <v>28</v>
      </c>
      <c r="I48" s="1774" t="s">
        <v>839</v>
      </c>
    </row>
    <row r="49" spans="1:9" ht="11.25" customHeight="1">
      <c r="A49" s="1774" t="s">
        <v>2282</v>
      </c>
      <c r="B49" s="1774" t="s">
        <v>16</v>
      </c>
      <c r="C49" s="1774" t="s">
        <v>2449</v>
      </c>
      <c r="D49" s="1774" t="s">
        <v>2450</v>
      </c>
      <c r="E49" s="1774" t="s">
        <v>2451</v>
      </c>
      <c r="F49" s="1774" t="s">
        <v>2382</v>
      </c>
      <c r="G49" s="1774" t="s">
        <v>28</v>
      </c>
      <c r="H49" s="1774" t="s">
        <v>28</v>
      </c>
      <c r="I49" s="1774" t="s">
        <v>839</v>
      </c>
    </row>
    <row r="50" spans="1:9" ht="11.25" customHeight="1">
      <c r="A50" s="1774" t="s">
        <v>2282</v>
      </c>
      <c r="B50" s="1774" t="s">
        <v>16</v>
      </c>
      <c r="C50" s="1774" t="s">
        <v>2452</v>
      </c>
      <c r="D50" s="1774" t="s">
        <v>2453</v>
      </c>
      <c r="E50" s="1774" t="s">
        <v>2454</v>
      </c>
      <c r="F50" s="1774" t="s">
        <v>2382</v>
      </c>
      <c r="G50" s="1774" t="s">
        <v>28</v>
      </c>
      <c r="H50" s="1774" t="s">
        <v>28</v>
      </c>
      <c r="I50" s="1774" t="s">
        <v>839</v>
      </c>
    </row>
    <row r="51" spans="1:9" ht="11.25" customHeight="1">
      <c r="A51" s="1774" t="s">
        <v>2282</v>
      </c>
      <c r="B51" s="1774" t="s">
        <v>16</v>
      </c>
      <c r="C51" s="1774" t="s">
        <v>2455</v>
      </c>
      <c r="D51" s="1774" t="s">
        <v>2456</v>
      </c>
      <c r="E51" s="1774" t="s">
        <v>2457</v>
      </c>
      <c r="F51" s="1774" t="s">
        <v>2297</v>
      </c>
      <c r="G51" s="1774" t="s">
        <v>28</v>
      </c>
      <c r="H51" s="1774" t="s">
        <v>28</v>
      </c>
      <c r="I51" s="1774" t="s">
        <v>839</v>
      </c>
    </row>
    <row r="52" spans="1:9" ht="11.25" customHeight="1">
      <c r="A52" s="1774" t="s">
        <v>2282</v>
      </c>
      <c r="B52" s="1774" t="s">
        <v>16</v>
      </c>
      <c r="C52" s="1774" t="s">
        <v>2458</v>
      </c>
      <c r="D52" s="1774" t="s">
        <v>2459</v>
      </c>
      <c r="E52" s="1774" t="s">
        <v>2460</v>
      </c>
      <c r="F52" s="1774" t="s">
        <v>2382</v>
      </c>
      <c r="G52" s="1774" t="s">
        <v>28</v>
      </c>
      <c r="H52" s="1774" t="s">
        <v>28</v>
      </c>
      <c r="I52" s="1774" t="s">
        <v>839</v>
      </c>
    </row>
    <row r="53" spans="1:9" ht="11.25" customHeight="1">
      <c r="A53" s="1774" t="s">
        <v>2282</v>
      </c>
      <c r="B53" s="1774" t="s">
        <v>16</v>
      </c>
      <c r="C53" s="1774" t="s">
        <v>2461</v>
      </c>
      <c r="D53" s="1774" t="s">
        <v>2462</v>
      </c>
      <c r="E53" s="1774" t="s">
        <v>2463</v>
      </c>
      <c r="F53" s="1774" t="s">
        <v>2350</v>
      </c>
      <c r="G53" s="1774" t="s">
        <v>28</v>
      </c>
      <c r="H53" s="1774" t="s">
        <v>28</v>
      </c>
      <c r="I53" s="1774" t="s">
        <v>839</v>
      </c>
    </row>
    <row r="54" spans="1:9" ht="11.25" customHeight="1">
      <c r="A54" s="1774" t="s">
        <v>2282</v>
      </c>
      <c r="B54" s="1774" t="s">
        <v>16</v>
      </c>
      <c r="C54" s="1774" t="s">
        <v>2464</v>
      </c>
      <c r="D54" s="1774" t="s">
        <v>2465</v>
      </c>
      <c r="E54" s="1774" t="s">
        <v>2466</v>
      </c>
      <c r="F54" s="1774" t="s">
        <v>2350</v>
      </c>
      <c r="G54" s="1774" t="s">
        <v>28</v>
      </c>
      <c r="H54" s="1774" t="s">
        <v>28</v>
      </c>
      <c r="I54" s="1774" t="s">
        <v>839</v>
      </c>
    </row>
    <row r="55" spans="1:9" ht="11.25" customHeight="1">
      <c r="A55" s="1774" t="s">
        <v>2282</v>
      </c>
      <c r="B55" s="1774" t="s">
        <v>16</v>
      </c>
      <c r="C55" s="1774" t="s">
        <v>2467</v>
      </c>
      <c r="D55" s="1774" t="s">
        <v>2468</v>
      </c>
      <c r="E55" s="1774" t="s">
        <v>2469</v>
      </c>
      <c r="F55" s="1774" t="s">
        <v>2286</v>
      </c>
      <c r="G55" s="1774" t="s">
        <v>28</v>
      </c>
      <c r="H55" s="1774" t="s">
        <v>28</v>
      </c>
      <c r="I55" s="1774" t="s">
        <v>839</v>
      </c>
    </row>
    <row r="56" spans="1:9" ht="11.25" customHeight="1">
      <c r="A56" s="1774" t="s">
        <v>2282</v>
      </c>
      <c r="B56" s="1774" t="s">
        <v>16</v>
      </c>
      <c r="C56" s="1774" t="s">
        <v>2470</v>
      </c>
      <c r="D56" s="1774" t="s">
        <v>2471</v>
      </c>
      <c r="E56" s="1774" t="s">
        <v>2472</v>
      </c>
      <c r="F56" s="1774" t="s">
        <v>2473</v>
      </c>
      <c r="G56" s="1774" t="s">
        <v>28</v>
      </c>
      <c r="H56" s="1774" t="s">
        <v>2474</v>
      </c>
      <c r="I56" s="1774" t="s">
        <v>839</v>
      </c>
    </row>
    <row r="57" spans="1:9" ht="11.25" customHeight="1">
      <c r="A57" s="1774" t="s">
        <v>2282</v>
      </c>
      <c r="B57" s="1774" t="s">
        <v>16</v>
      </c>
      <c r="C57" s="1774" t="s">
        <v>2475</v>
      </c>
      <c r="D57" s="1774" t="s">
        <v>2476</v>
      </c>
      <c r="E57" s="1774" t="s">
        <v>2477</v>
      </c>
      <c r="F57" s="1774" t="s">
        <v>2478</v>
      </c>
      <c r="G57" s="1774" t="s">
        <v>28</v>
      </c>
      <c r="H57" s="1774" t="s">
        <v>28</v>
      </c>
      <c r="I57" s="1774" t="s">
        <v>839</v>
      </c>
    </row>
    <row r="58" spans="1:9" ht="11.25" customHeight="1">
      <c r="A58" s="1774" t="s">
        <v>2282</v>
      </c>
      <c r="B58" s="1774" t="s">
        <v>16</v>
      </c>
      <c r="C58" s="1774" t="s">
        <v>2479</v>
      </c>
      <c r="D58" s="1774" t="s">
        <v>2480</v>
      </c>
      <c r="E58" s="1774" t="s">
        <v>2481</v>
      </c>
      <c r="F58" s="1774" t="s">
        <v>2482</v>
      </c>
      <c r="G58" s="1774" t="s">
        <v>28</v>
      </c>
      <c r="H58" s="1774" t="s">
        <v>28</v>
      </c>
      <c r="I58" s="1774" t="s">
        <v>839</v>
      </c>
    </row>
    <row r="59" spans="1:9" ht="11.25" customHeight="1">
      <c r="A59" s="1774" t="s">
        <v>2282</v>
      </c>
      <c r="B59" s="1774" t="s">
        <v>16</v>
      </c>
      <c r="C59" s="1774" t="s">
        <v>2483</v>
      </c>
      <c r="D59" s="1774" t="s">
        <v>2484</v>
      </c>
      <c r="E59" s="1774" t="s">
        <v>2485</v>
      </c>
      <c r="F59" s="1774" t="s">
        <v>2365</v>
      </c>
      <c r="G59" s="1774" t="s">
        <v>28</v>
      </c>
      <c r="H59" s="1774" t="s">
        <v>28</v>
      </c>
      <c r="I59" s="1774" t="s">
        <v>839</v>
      </c>
    </row>
    <row r="60" spans="1:9" ht="11.25" customHeight="1">
      <c r="A60" s="1774" t="s">
        <v>2282</v>
      </c>
      <c r="B60" s="1774" t="s">
        <v>16</v>
      </c>
      <c r="C60" s="1774" t="s">
        <v>2486</v>
      </c>
      <c r="D60" s="1774" t="s">
        <v>2487</v>
      </c>
      <c r="E60" s="1774" t="s">
        <v>2488</v>
      </c>
      <c r="F60" s="1774" t="s">
        <v>2489</v>
      </c>
      <c r="G60" s="1774" t="s">
        <v>28</v>
      </c>
      <c r="H60" s="1774" t="s">
        <v>28</v>
      </c>
      <c r="I60" s="1774" t="s">
        <v>839</v>
      </c>
    </row>
    <row r="61" spans="1:9" ht="11.25" customHeight="1">
      <c r="A61" s="1774" t="s">
        <v>2282</v>
      </c>
      <c r="B61" s="1774" t="s">
        <v>16</v>
      </c>
      <c r="C61" s="1774" t="s">
        <v>2490</v>
      </c>
      <c r="D61" s="1774" t="s">
        <v>2491</v>
      </c>
      <c r="E61" s="1774" t="s">
        <v>2492</v>
      </c>
      <c r="F61" s="1774" t="s">
        <v>2301</v>
      </c>
      <c r="G61" s="1774" t="s">
        <v>28</v>
      </c>
      <c r="H61" s="1774" t="s">
        <v>28</v>
      </c>
      <c r="I61" s="1774" t="s">
        <v>839</v>
      </c>
    </row>
    <row r="62" spans="1:9" ht="11.25" customHeight="1">
      <c r="A62" s="1774" t="s">
        <v>2282</v>
      </c>
      <c r="B62" s="1774" t="s">
        <v>16</v>
      </c>
      <c r="C62" s="1774" t="s">
        <v>28</v>
      </c>
      <c r="D62" s="1774" t="s">
        <v>2493</v>
      </c>
      <c r="E62" s="1774" t="s">
        <v>2494</v>
      </c>
      <c r="F62" s="1774" t="s">
        <v>2365</v>
      </c>
      <c r="G62" s="1774" t="s">
        <v>28</v>
      </c>
      <c r="H62" s="1774" t="s">
        <v>28</v>
      </c>
      <c r="I62" s="1774" t="s">
        <v>839</v>
      </c>
    </row>
    <row r="63" spans="1:9" ht="11.25" customHeight="1">
      <c r="A63" s="1774" t="s">
        <v>2282</v>
      </c>
      <c r="B63" s="1774" t="s">
        <v>16</v>
      </c>
      <c r="C63" s="1774" t="s">
        <v>2495</v>
      </c>
      <c r="D63" s="1774" t="s">
        <v>2496</v>
      </c>
      <c r="E63" s="1774" t="s">
        <v>2497</v>
      </c>
      <c r="F63" s="1774" t="s">
        <v>2498</v>
      </c>
      <c r="G63" s="1774" t="s">
        <v>28</v>
      </c>
      <c r="H63" s="1774" t="s">
        <v>28</v>
      </c>
      <c r="I63" s="1774" t="s">
        <v>839</v>
      </c>
    </row>
    <row r="64" spans="1:9" ht="11.25" customHeight="1">
      <c r="A64" s="1774" t="s">
        <v>2282</v>
      </c>
      <c r="B64" s="1774" t="s">
        <v>16</v>
      </c>
      <c r="C64" s="1774" t="s">
        <v>2499</v>
      </c>
      <c r="D64" s="1774" t="s">
        <v>2500</v>
      </c>
      <c r="E64" s="1774" t="s">
        <v>2501</v>
      </c>
      <c r="F64" s="1774" t="s">
        <v>2502</v>
      </c>
      <c r="G64" s="1774" t="s">
        <v>28</v>
      </c>
      <c r="H64" s="1774" t="s">
        <v>28</v>
      </c>
      <c r="I64" s="1774" t="s">
        <v>839</v>
      </c>
    </row>
    <row r="65" spans="1:9" ht="11.25" customHeight="1">
      <c r="A65" s="1774" t="s">
        <v>2282</v>
      </c>
      <c r="B65" s="1774" t="s">
        <v>16</v>
      </c>
      <c r="C65" s="1774" t="s">
        <v>2503</v>
      </c>
      <c r="D65" s="1774" t="s">
        <v>2504</v>
      </c>
      <c r="E65" s="1774" t="s">
        <v>2505</v>
      </c>
      <c r="F65" s="1774" t="s">
        <v>2354</v>
      </c>
      <c r="G65" s="1774" t="s">
        <v>28</v>
      </c>
      <c r="H65" s="1774" t="s">
        <v>28</v>
      </c>
      <c r="I65" s="1774" t="s">
        <v>839</v>
      </c>
    </row>
    <row r="66" spans="1:9" ht="11.25" customHeight="1">
      <c r="A66" s="1774" t="s">
        <v>2282</v>
      </c>
      <c r="B66" s="1774" t="s">
        <v>16</v>
      </c>
      <c r="C66" s="1774" t="s">
        <v>2506</v>
      </c>
      <c r="D66" s="1774" t="s">
        <v>2507</v>
      </c>
      <c r="E66" s="1774" t="s">
        <v>2508</v>
      </c>
      <c r="F66" s="1774" t="s">
        <v>2309</v>
      </c>
      <c r="G66" s="1774" t="s">
        <v>28</v>
      </c>
      <c r="H66" s="1774" t="s">
        <v>2509</v>
      </c>
      <c r="I66" s="1774" t="s">
        <v>839</v>
      </c>
    </row>
    <row r="67" spans="1:9" ht="11.25" customHeight="1">
      <c r="A67" s="1774" t="s">
        <v>2282</v>
      </c>
      <c r="B67" s="1774" t="s">
        <v>16</v>
      </c>
      <c r="C67" s="1774" t="s">
        <v>2510</v>
      </c>
      <c r="D67" s="1774" t="s">
        <v>2511</v>
      </c>
      <c r="E67" s="1774" t="s">
        <v>2512</v>
      </c>
      <c r="F67" s="1774" t="s">
        <v>2354</v>
      </c>
      <c r="G67" s="1774" t="s">
        <v>28</v>
      </c>
      <c r="H67" s="1774" t="s">
        <v>28</v>
      </c>
      <c r="I67" s="1774" t="s">
        <v>839</v>
      </c>
    </row>
    <row r="68" spans="1:9" ht="11.25" customHeight="1">
      <c r="A68" s="1774" t="s">
        <v>2282</v>
      </c>
      <c r="B68" s="1774" t="s">
        <v>16</v>
      </c>
      <c r="C68" s="1774" t="s">
        <v>2513</v>
      </c>
      <c r="D68" s="1774" t="s">
        <v>2514</v>
      </c>
      <c r="E68" s="1774" t="s">
        <v>2515</v>
      </c>
      <c r="F68" s="1774" t="s">
        <v>2387</v>
      </c>
      <c r="G68" s="1774" t="s">
        <v>28</v>
      </c>
      <c r="H68" s="1774" t="s">
        <v>28</v>
      </c>
      <c r="I68" s="1774" t="s">
        <v>839</v>
      </c>
    </row>
    <row r="69" spans="1:9" ht="11.25" customHeight="1">
      <c r="A69" s="1774" t="s">
        <v>2282</v>
      </c>
      <c r="B69" s="1774" t="s">
        <v>16</v>
      </c>
      <c r="C69" s="1774" t="s">
        <v>2516</v>
      </c>
      <c r="D69" s="1774" t="s">
        <v>2517</v>
      </c>
      <c r="E69" s="1774" t="s">
        <v>2518</v>
      </c>
      <c r="F69" s="1774" t="s">
        <v>2301</v>
      </c>
      <c r="G69" s="1774" t="s">
        <v>28</v>
      </c>
      <c r="H69" s="1774" t="s">
        <v>28</v>
      </c>
      <c r="I69" s="1774" t="s">
        <v>839</v>
      </c>
    </row>
    <row r="70" spans="1:9" ht="11.25" customHeight="1">
      <c r="A70" s="1774" t="s">
        <v>2282</v>
      </c>
      <c r="B70" s="1774" t="s">
        <v>16</v>
      </c>
      <c r="C70" s="1774" t="s">
        <v>2519</v>
      </c>
      <c r="D70" s="1774" t="s">
        <v>2520</v>
      </c>
      <c r="E70" s="1774" t="s">
        <v>2521</v>
      </c>
      <c r="F70" s="1774" t="s">
        <v>2482</v>
      </c>
      <c r="G70" s="1774" t="s">
        <v>28</v>
      </c>
      <c r="H70" s="1774" t="s">
        <v>2522</v>
      </c>
      <c r="I70" s="1774" t="s">
        <v>839</v>
      </c>
    </row>
    <row r="71" spans="1:9" ht="11.25" customHeight="1">
      <c r="A71" s="1774" t="s">
        <v>2282</v>
      </c>
      <c r="B71" s="1774" t="s">
        <v>16</v>
      </c>
      <c r="C71" s="1774" t="s">
        <v>2523</v>
      </c>
      <c r="D71" s="1774" t="s">
        <v>2524</v>
      </c>
      <c r="E71" s="1774" t="s">
        <v>2525</v>
      </c>
      <c r="F71" s="1774" t="s">
        <v>2473</v>
      </c>
      <c r="G71" s="1774" t="s">
        <v>28</v>
      </c>
      <c r="H71" s="1774" t="s">
        <v>28</v>
      </c>
      <c r="I71" s="1774" t="s">
        <v>839</v>
      </c>
    </row>
    <row r="72" spans="1:9" ht="11.25" customHeight="1">
      <c r="A72" s="1774" t="s">
        <v>2282</v>
      </c>
      <c r="B72" s="1774" t="s">
        <v>16</v>
      </c>
      <c r="C72" s="1774" t="s">
        <v>2526</v>
      </c>
      <c r="D72" s="1774" t="s">
        <v>2527</v>
      </c>
      <c r="E72" s="1774" t="s">
        <v>2528</v>
      </c>
      <c r="F72" s="1774" t="s">
        <v>2354</v>
      </c>
      <c r="G72" s="1774" t="s">
        <v>28</v>
      </c>
      <c r="H72" s="1774" t="s">
        <v>28</v>
      </c>
      <c r="I72" s="1774" t="s">
        <v>839</v>
      </c>
    </row>
    <row r="73" spans="1:9" ht="11.25" customHeight="1">
      <c r="A73" s="1774" t="s">
        <v>2282</v>
      </c>
      <c r="B73" s="1774" t="s">
        <v>16</v>
      </c>
      <c r="C73" s="1774" t="s">
        <v>2529</v>
      </c>
      <c r="D73" s="1774" t="s">
        <v>2530</v>
      </c>
      <c r="E73" s="1774" t="s">
        <v>2531</v>
      </c>
      <c r="F73" s="1774" t="s">
        <v>2473</v>
      </c>
      <c r="G73" s="1774" t="s">
        <v>28</v>
      </c>
      <c r="H73" s="1774" t="s">
        <v>28</v>
      </c>
      <c r="I73" s="1774" t="s">
        <v>839</v>
      </c>
    </row>
    <row r="74" spans="1:9" ht="11.25" customHeight="1">
      <c r="A74" s="1774" t="s">
        <v>2282</v>
      </c>
      <c r="B74" s="1774" t="s">
        <v>16</v>
      </c>
      <c r="C74" s="1774" t="s">
        <v>2532</v>
      </c>
      <c r="D74" s="1774" t="s">
        <v>2533</v>
      </c>
      <c r="E74" s="1774" t="s">
        <v>2534</v>
      </c>
      <c r="F74" s="1774" t="s">
        <v>2354</v>
      </c>
      <c r="G74" s="1774" t="s">
        <v>28</v>
      </c>
      <c r="H74" s="1774" t="s">
        <v>28</v>
      </c>
      <c r="I74" s="1774" t="s">
        <v>839</v>
      </c>
    </row>
    <row r="75" spans="1:9" ht="11.25" customHeight="1">
      <c r="A75" s="1774" t="s">
        <v>2282</v>
      </c>
      <c r="B75" s="1774" t="s">
        <v>16</v>
      </c>
      <c r="C75" s="1774" t="s">
        <v>2535</v>
      </c>
      <c r="D75" s="1774" t="s">
        <v>2536</v>
      </c>
      <c r="E75" s="1774" t="s">
        <v>2537</v>
      </c>
      <c r="F75" s="1774" t="s">
        <v>2445</v>
      </c>
      <c r="G75" s="1774" t="s">
        <v>28</v>
      </c>
      <c r="H75" s="1774" t="s">
        <v>28</v>
      </c>
      <c r="I75" s="1774" t="s">
        <v>839</v>
      </c>
    </row>
    <row r="76" spans="1:9" ht="11.25" customHeight="1">
      <c r="A76" s="1774" t="s">
        <v>2282</v>
      </c>
      <c r="B76" s="1774" t="s">
        <v>16</v>
      </c>
      <c r="C76" s="1774" t="s">
        <v>2538</v>
      </c>
      <c r="D76" s="1774" t="s">
        <v>2539</v>
      </c>
      <c r="E76" s="1774" t="s">
        <v>2540</v>
      </c>
      <c r="F76" s="1774" t="s">
        <v>2354</v>
      </c>
      <c r="G76" s="1774" t="s">
        <v>28</v>
      </c>
      <c r="H76" s="1774" t="s">
        <v>28</v>
      </c>
      <c r="I76" s="1774" t="s">
        <v>839</v>
      </c>
    </row>
    <row r="77" spans="1:9" ht="11.25" customHeight="1">
      <c r="A77" s="1774" t="s">
        <v>2282</v>
      </c>
      <c r="B77" s="1774" t="s">
        <v>16</v>
      </c>
      <c r="C77" s="1774" t="s">
        <v>2541</v>
      </c>
      <c r="D77" s="1774" t="s">
        <v>2542</v>
      </c>
      <c r="E77" s="1774" t="s">
        <v>2543</v>
      </c>
      <c r="F77" s="1774" t="s">
        <v>2346</v>
      </c>
      <c r="G77" s="1774" t="s">
        <v>28</v>
      </c>
      <c r="H77" s="1774" t="s">
        <v>28</v>
      </c>
      <c r="I77" s="1774" t="s">
        <v>839</v>
      </c>
    </row>
    <row r="78" spans="1:9" ht="11.25" customHeight="1">
      <c r="A78" s="1774" t="s">
        <v>2282</v>
      </c>
      <c r="B78" s="1774" t="s">
        <v>16</v>
      </c>
      <c r="C78" s="1774" t="s">
        <v>2544</v>
      </c>
      <c r="D78" s="1774" t="s">
        <v>2545</v>
      </c>
      <c r="E78" s="1774" t="s">
        <v>2546</v>
      </c>
      <c r="F78" s="1774" t="s">
        <v>2301</v>
      </c>
      <c r="G78" s="1774" t="s">
        <v>28</v>
      </c>
      <c r="H78" s="1774" t="s">
        <v>28</v>
      </c>
      <c r="I78" s="1774" t="s">
        <v>839</v>
      </c>
    </row>
    <row r="79" spans="1:9" ht="11.25" customHeight="1">
      <c r="A79" s="1774" t="s">
        <v>2282</v>
      </c>
      <c r="B79" s="1774" t="s">
        <v>16</v>
      </c>
      <c r="C79" s="1774" t="s">
        <v>2547</v>
      </c>
      <c r="D79" s="1774" t="s">
        <v>2548</v>
      </c>
      <c r="E79" s="1774" t="s">
        <v>2549</v>
      </c>
      <c r="F79" s="1774" t="s">
        <v>2445</v>
      </c>
      <c r="G79" s="1774" t="s">
        <v>28</v>
      </c>
      <c r="H79" s="1774" t="s">
        <v>28</v>
      </c>
      <c r="I79" s="1774" t="s">
        <v>839</v>
      </c>
    </row>
    <row r="80" spans="1:9" ht="11.25" customHeight="1">
      <c r="A80" s="1774" t="s">
        <v>2282</v>
      </c>
      <c r="B80" s="1774" t="s">
        <v>16</v>
      </c>
      <c r="C80" s="1774" t="s">
        <v>2550</v>
      </c>
      <c r="D80" s="1774" t="s">
        <v>2551</v>
      </c>
      <c r="E80" s="1774" t="s">
        <v>2552</v>
      </c>
      <c r="F80" s="1774" t="s">
        <v>2354</v>
      </c>
      <c r="G80" s="1774" t="s">
        <v>28</v>
      </c>
      <c r="H80" s="1774" t="s">
        <v>28</v>
      </c>
      <c r="I80" s="1774" t="s">
        <v>839</v>
      </c>
    </row>
    <row r="81" spans="1:9" ht="11.25" customHeight="1">
      <c r="A81" s="1774" t="s">
        <v>2282</v>
      </c>
      <c r="B81" s="1774" t="s">
        <v>16</v>
      </c>
      <c r="C81" s="1774" t="s">
        <v>2553</v>
      </c>
      <c r="D81" s="1774" t="s">
        <v>2554</v>
      </c>
      <c r="E81" s="1774" t="s">
        <v>2555</v>
      </c>
      <c r="F81" s="1774" t="s">
        <v>55</v>
      </c>
      <c r="G81" s="1774" t="s">
        <v>28</v>
      </c>
      <c r="H81" s="1774" t="s">
        <v>28</v>
      </c>
      <c r="I81" s="1774" t="s">
        <v>839</v>
      </c>
    </row>
    <row r="82" spans="1:9" ht="11.25" customHeight="1">
      <c r="A82" s="1774" t="s">
        <v>2282</v>
      </c>
      <c r="B82" s="1774" t="s">
        <v>16</v>
      </c>
      <c r="C82" s="1774" t="s">
        <v>2556</v>
      </c>
      <c r="D82" s="1774" t="s">
        <v>2557</v>
      </c>
      <c r="E82" s="1774" t="s">
        <v>2558</v>
      </c>
      <c r="F82" s="1774" t="s">
        <v>2297</v>
      </c>
      <c r="G82" s="1774" t="s">
        <v>28</v>
      </c>
      <c r="H82" s="1774" t="s">
        <v>28</v>
      </c>
      <c r="I82" s="1774" t="s">
        <v>839</v>
      </c>
    </row>
    <row r="83" spans="1:9" ht="11.25" customHeight="1">
      <c r="A83" s="1774" t="s">
        <v>2282</v>
      </c>
      <c r="B83" s="1774" t="s">
        <v>16</v>
      </c>
      <c r="C83" s="1774" t="s">
        <v>2559</v>
      </c>
      <c r="D83" s="1774" t="s">
        <v>2560</v>
      </c>
      <c r="E83" s="1774" t="s">
        <v>2561</v>
      </c>
      <c r="F83" s="1774" t="s">
        <v>2562</v>
      </c>
      <c r="G83" s="1774" t="s">
        <v>2563</v>
      </c>
      <c r="H83" s="1774" t="s">
        <v>28</v>
      </c>
      <c r="I83" s="1774" t="s">
        <v>839</v>
      </c>
    </row>
    <row r="84" spans="1:9" ht="11.25" customHeight="1">
      <c r="A84" s="1774" t="s">
        <v>2282</v>
      </c>
      <c r="B84" s="1774" t="s">
        <v>16</v>
      </c>
      <c r="C84" s="1774" t="s">
        <v>2564</v>
      </c>
      <c r="D84" s="1774" t="s">
        <v>2565</v>
      </c>
      <c r="E84" s="1774" t="s">
        <v>2566</v>
      </c>
      <c r="F84" s="1774" t="s">
        <v>2286</v>
      </c>
      <c r="G84" s="1774" t="s">
        <v>28</v>
      </c>
      <c r="H84" s="1774" t="s">
        <v>28</v>
      </c>
      <c r="I84" s="1774" t="s">
        <v>839</v>
      </c>
    </row>
    <row r="85" spans="1:9" ht="11.25" customHeight="1">
      <c r="A85" s="1774" t="s">
        <v>2282</v>
      </c>
      <c r="B85" s="1774" t="s">
        <v>16</v>
      </c>
      <c r="C85" s="1774" t="s">
        <v>2567</v>
      </c>
      <c r="D85" s="1774" t="s">
        <v>2568</v>
      </c>
      <c r="E85" s="1774" t="s">
        <v>2569</v>
      </c>
      <c r="F85" s="1774" t="s">
        <v>2354</v>
      </c>
      <c r="G85" s="1774" t="s">
        <v>2570</v>
      </c>
      <c r="H85" s="1774" t="s">
        <v>28</v>
      </c>
      <c r="I85" s="1774" t="s">
        <v>839</v>
      </c>
    </row>
    <row r="86" spans="1:9" ht="11.25" customHeight="1">
      <c r="A86" s="1774" t="s">
        <v>2282</v>
      </c>
      <c r="B86" s="1774" t="s">
        <v>16</v>
      </c>
      <c r="C86" s="1774" t="s">
        <v>2571</v>
      </c>
      <c r="D86" s="1774" t="s">
        <v>2572</v>
      </c>
      <c r="E86" s="1774" t="s">
        <v>2573</v>
      </c>
      <c r="F86" s="1774" t="s">
        <v>2473</v>
      </c>
      <c r="G86" s="1774" t="s">
        <v>28</v>
      </c>
      <c r="H86" s="1774" t="s">
        <v>28</v>
      </c>
      <c r="I86" s="1774" t="s">
        <v>839</v>
      </c>
    </row>
    <row r="87" spans="1:9" ht="11.25" customHeight="1">
      <c r="A87" s="1774" t="s">
        <v>2282</v>
      </c>
      <c r="B87" s="1774" t="s">
        <v>16</v>
      </c>
      <c r="C87" s="1774" t="s">
        <v>2574</v>
      </c>
      <c r="D87" s="1774" t="s">
        <v>2575</v>
      </c>
      <c r="E87" s="1774" t="s">
        <v>2576</v>
      </c>
      <c r="F87" s="1774" t="s">
        <v>2473</v>
      </c>
      <c r="G87" s="1774" t="s">
        <v>28</v>
      </c>
      <c r="H87" s="1774" t="s">
        <v>28</v>
      </c>
      <c r="I87" s="1774" t="s">
        <v>839</v>
      </c>
    </row>
    <row r="88" spans="1:9" ht="11.25" customHeight="1">
      <c r="A88" s="1774" t="s">
        <v>2282</v>
      </c>
      <c r="B88" s="1774" t="s">
        <v>16</v>
      </c>
      <c r="C88" s="1774" t="s">
        <v>2577</v>
      </c>
      <c r="D88" s="1774" t="s">
        <v>2578</v>
      </c>
      <c r="E88" s="1774" t="s">
        <v>2579</v>
      </c>
      <c r="F88" s="1774" t="s">
        <v>2473</v>
      </c>
      <c r="G88" s="1774" t="s">
        <v>28</v>
      </c>
      <c r="H88" s="1774" t="s">
        <v>28</v>
      </c>
      <c r="I88" s="1774" t="s">
        <v>839</v>
      </c>
    </row>
    <row r="89" spans="1:9" ht="11.25" customHeight="1">
      <c r="A89" s="1774" t="s">
        <v>2282</v>
      </c>
      <c r="B89" s="1774" t="s">
        <v>16</v>
      </c>
      <c r="C89" s="1774" t="s">
        <v>2580</v>
      </c>
      <c r="D89" s="1774" t="s">
        <v>2581</v>
      </c>
      <c r="E89" s="1774" t="s">
        <v>2582</v>
      </c>
      <c r="F89" s="1774" t="s">
        <v>2346</v>
      </c>
      <c r="G89" s="1774" t="s">
        <v>28</v>
      </c>
      <c r="H89" s="1774" t="s">
        <v>28</v>
      </c>
      <c r="I89" s="1774" t="s">
        <v>839</v>
      </c>
    </row>
    <row r="90" spans="1:9" ht="11.25" customHeight="1">
      <c r="A90" s="1774" t="s">
        <v>2282</v>
      </c>
      <c r="B90" s="1774" t="s">
        <v>16</v>
      </c>
      <c r="C90" s="1774" t="s">
        <v>2583</v>
      </c>
      <c r="D90" s="1774" t="s">
        <v>2584</v>
      </c>
      <c r="E90" s="1774" t="s">
        <v>2585</v>
      </c>
      <c r="F90" s="1774" t="s">
        <v>2382</v>
      </c>
      <c r="G90" s="1774" t="s">
        <v>28</v>
      </c>
      <c r="H90" s="1774" t="s">
        <v>28</v>
      </c>
      <c r="I90" s="1774" t="s">
        <v>839</v>
      </c>
    </row>
    <row r="91" spans="1:9" ht="11.25" customHeight="1">
      <c r="A91" s="1774" t="s">
        <v>2282</v>
      </c>
      <c r="B91" s="1774" t="s">
        <v>16</v>
      </c>
      <c r="C91" s="1774" t="s">
        <v>2586</v>
      </c>
      <c r="D91" s="1774" t="s">
        <v>2587</v>
      </c>
      <c r="E91" s="1774" t="s">
        <v>2588</v>
      </c>
      <c r="F91" s="1774" t="s">
        <v>2589</v>
      </c>
      <c r="G91" s="1774" t="s">
        <v>28</v>
      </c>
      <c r="H91" s="1774" t="s">
        <v>28</v>
      </c>
      <c r="I91" s="1774" t="s">
        <v>839</v>
      </c>
    </row>
    <row r="92" spans="1:9" ht="11.25" customHeight="1">
      <c r="A92" s="1774" t="s">
        <v>2282</v>
      </c>
      <c r="B92" s="1774" t="s">
        <v>16</v>
      </c>
      <c r="C92" s="1774" t="s">
        <v>2590</v>
      </c>
      <c r="D92" s="1774" t="s">
        <v>2591</v>
      </c>
      <c r="E92" s="1774" t="s">
        <v>2592</v>
      </c>
      <c r="F92" s="1774" t="s">
        <v>2293</v>
      </c>
      <c r="G92" s="1774" t="s">
        <v>28</v>
      </c>
      <c r="H92" s="1774" t="s">
        <v>28</v>
      </c>
      <c r="I92" s="1774" t="s">
        <v>839</v>
      </c>
    </row>
    <row r="93" spans="1:9" ht="11.25" customHeight="1">
      <c r="A93" s="1774" t="s">
        <v>2282</v>
      </c>
      <c r="B93" s="1774" t="s">
        <v>16</v>
      </c>
      <c r="C93" s="1774" t="s">
        <v>2593</v>
      </c>
      <c r="D93" s="1774" t="s">
        <v>2594</v>
      </c>
      <c r="E93" s="1774" t="s">
        <v>2595</v>
      </c>
      <c r="F93" s="1774" t="s">
        <v>2382</v>
      </c>
      <c r="G93" s="1774" t="s">
        <v>28</v>
      </c>
      <c r="H93" s="1774" t="s">
        <v>28</v>
      </c>
      <c r="I93" s="1774" t="s">
        <v>839</v>
      </c>
    </row>
    <row r="94" spans="1:9" ht="11.25" customHeight="1">
      <c r="A94" s="1774" t="s">
        <v>2282</v>
      </c>
      <c r="B94" s="1774" t="s">
        <v>16</v>
      </c>
      <c r="C94" s="1774" t="s">
        <v>2596</v>
      </c>
      <c r="D94" s="1774" t="s">
        <v>2597</v>
      </c>
      <c r="E94" s="1774" t="s">
        <v>2598</v>
      </c>
      <c r="F94" s="1774" t="s">
        <v>2382</v>
      </c>
      <c r="G94" s="1774" t="s">
        <v>28</v>
      </c>
      <c r="H94" s="1774" t="s">
        <v>28</v>
      </c>
      <c r="I94" s="1774" t="s">
        <v>839</v>
      </c>
    </row>
    <row r="95" spans="1:9" ht="11.25" customHeight="1">
      <c r="A95" s="1774" t="s">
        <v>2282</v>
      </c>
      <c r="B95" s="1774" t="s">
        <v>16</v>
      </c>
      <c r="C95" s="1774" t="s">
        <v>2599</v>
      </c>
      <c r="D95" s="1774" t="s">
        <v>2600</v>
      </c>
      <c r="E95" s="1774" t="s">
        <v>2601</v>
      </c>
      <c r="F95" s="1774" t="s">
        <v>55</v>
      </c>
      <c r="G95" s="1774" t="s">
        <v>28</v>
      </c>
      <c r="H95" s="1774" t="s">
        <v>28</v>
      </c>
      <c r="I95" s="1774" t="s">
        <v>839</v>
      </c>
    </row>
    <row r="96" spans="1:9" ht="11.25" customHeight="1">
      <c r="A96" s="1774" t="s">
        <v>2282</v>
      </c>
      <c r="B96" s="1774" t="s">
        <v>16</v>
      </c>
      <c r="C96" s="1774" t="s">
        <v>2602</v>
      </c>
      <c r="D96" s="1774" t="s">
        <v>2603</v>
      </c>
      <c r="E96" s="1774" t="s">
        <v>2604</v>
      </c>
      <c r="F96" s="1774" t="s">
        <v>2605</v>
      </c>
      <c r="G96" s="1774" t="s">
        <v>28</v>
      </c>
      <c r="H96" s="1774" t="s">
        <v>28</v>
      </c>
      <c r="I96" s="1774" t="s">
        <v>839</v>
      </c>
    </row>
    <row r="97" spans="1:9" ht="11.25" customHeight="1">
      <c r="A97" s="1774" t="s">
        <v>2282</v>
      </c>
      <c r="B97" s="1774" t="s">
        <v>16</v>
      </c>
      <c r="C97" s="1774" t="s">
        <v>2606</v>
      </c>
      <c r="D97" s="1774" t="s">
        <v>2607</v>
      </c>
      <c r="E97" s="1774" t="s">
        <v>2608</v>
      </c>
      <c r="F97" s="1774" t="s">
        <v>2609</v>
      </c>
      <c r="G97" s="1774" t="s">
        <v>28</v>
      </c>
      <c r="H97" s="1774" t="s">
        <v>28</v>
      </c>
      <c r="I97" s="1774" t="s">
        <v>839</v>
      </c>
    </row>
    <row r="98" spans="1:9" ht="11.25" customHeight="1">
      <c r="A98" s="1774" t="s">
        <v>2282</v>
      </c>
      <c r="B98" s="1774" t="s">
        <v>16</v>
      </c>
      <c r="C98" s="1774" t="s">
        <v>2610</v>
      </c>
      <c r="D98" s="1774" t="s">
        <v>2611</v>
      </c>
      <c r="E98" s="1774" t="s">
        <v>2612</v>
      </c>
      <c r="F98" s="1774" t="s">
        <v>2309</v>
      </c>
      <c r="G98" s="1774" t="s">
        <v>28</v>
      </c>
      <c r="H98" s="1774" t="s">
        <v>28</v>
      </c>
      <c r="I98" s="1774" t="s">
        <v>839</v>
      </c>
    </row>
    <row r="99" spans="1:9" ht="11.25" customHeight="1">
      <c r="A99" s="1774" t="s">
        <v>2282</v>
      </c>
      <c r="B99" s="1774" t="s">
        <v>16</v>
      </c>
      <c r="C99" s="1774" t="s">
        <v>2613</v>
      </c>
      <c r="D99" s="1774" t="s">
        <v>2614</v>
      </c>
      <c r="E99" s="1774" t="s">
        <v>2615</v>
      </c>
      <c r="F99" s="1774" t="s">
        <v>2382</v>
      </c>
      <c r="G99" s="1774" t="s">
        <v>28</v>
      </c>
      <c r="H99" s="1774" t="s">
        <v>28</v>
      </c>
      <c r="I99" s="1774" t="s">
        <v>839</v>
      </c>
    </row>
    <row r="100" spans="1:9" ht="11.25" customHeight="1">
      <c r="A100" s="1774" t="s">
        <v>2282</v>
      </c>
      <c r="B100" s="1774" t="s">
        <v>16</v>
      </c>
      <c r="C100" s="1774" t="s">
        <v>2616</v>
      </c>
      <c r="D100" s="1774" t="s">
        <v>2617</v>
      </c>
      <c r="E100" s="1774" t="s">
        <v>2618</v>
      </c>
      <c r="F100" s="1774" t="s">
        <v>2293</v>
      </c>
      <c r="G100" s="1774" t="s">
        <v>28</v>
      </c>
      <c r="H100" s="1774" t="s">
        <v>28</v>
      </c>
      <c r="I100" s="1774" t="s">
        <v>839</v>
      </c>
    </row>
    <row r="101" spans="1:9" ht="11.25" customHeight="1">
      <c r="A101" s="1774" t="s">
        <v>2282</v>
      </c>
      <c r="B101" s="1774" t="s">
        <v>16</v>
      </c>
      <c r="C101" s="1774" t="s">
        <v>2619</v>
      </c>
      <c r="D101" s="1774" t="s">
        <v>2620</v>
      </c>
      <c r="E101" s="1774" t="s">
        <v>2621</v>
      </c>
      <c r="F101" s="1774" t="s">
        <v>2478</v>
      </c>
      <c r="G101" s="1774" t="s">
        <v>28</v>
      </c>
      <c r="H101" s="1774" t="s">
        <v>28</v>
      </c>
      <c r="I101" s="1774" t="s">
        <v>839</v>
      </c>
    </row>
    <row r="102" spans="1:9" ht="11.25" customHeight="1">
      <c r="A102" s="1774" t="s">
        <v>2282</v>
      </c>
      <c r="B102" s="1774" t="s">
        <v>16</v>
      </c>
      <c r="C102" s="1774" t="s">
        <v>2622</v>
      </c>
      <c r="D102" s="1774" t="s">
        <v>2623</v>
      </c>
      <c r="E102" s="1774" t="s">
        <v>2624</v>
      </c>
      <c r="F102" s="1774" t="s">
        <v>2625</v>
      </c>
      <c r="G102" s="1774" t="s">
        <v>2626</v>
      </c>
      <c r="H102" s="1774" t="s">
        <v>28</v>
      </c>
      <c r="I102" s="1774" t="s">
        <v>839</v>
      </c>
    </row>
    <row r="103" spans="1:9" ht="11.25" customHeight="1">
      <c r="A103" s="1774" t="s">
        <v>2282</v>
      </c>
      <c r="B103" s="1774" t="s">
        <v>16</v>
      </c>
      <c r="C103" s="1774" t="s">
        <v>2627</v>
      </c>
      <c r="D103" s="1774" t="s">
        <v>2623</v>
      </c>
      <c r="E103" s="1774" t="s">
        <v>2624</v>
      </c>
      <c r="F103" s="1774" t="s">
        <v>2628</v>
      </c>
      <c r="G103" s="1774" t="s">
        <v>28</v>
      </c>
      <c r="H103" s="1774" t="s">
        <v>28</v>
      </c>
      <c r="I103" s="1774" t="s">
        <v>839</v>
      </c>
    </row>
    <row r="104" spans="1:9" ht="11.25" customHeight="1">
      <c r="A104" s="1774" t="s">
        <v>2282</v>
      </c>
      <c r="B104" s="1774" t="s">
        <v>16</v>
      </c>
      <c r="C104" s="1774" t="s">
        <v>2629</v>
      </c>
      <c r="D104" s="1774" t="s">
        <v>2630</v>
      </c>
      <c r="E104" s="1774" t="s">
        <v>2631</v>
      </c>
      <c r="F104" s="1774" t="s">
        <v>2632</v>
      </c>
      <c r="G104" s="1774" t="s">
        <v>2633</v>
      </c>
      <c r="H104" s="1774" t="s">
        <v>28</v>
      </c>
      <c r="I104" s="1774" t="s">
        <v>839</v>
      </c>
    </row>
    <row r="105" spans="1:9" ht="11.25" customHeight="1">
      <c r="A105" s="1774" t="s">
        <v>2282</v>
      </c>
      <c r="B105" s="1774" t="s">
        <v>16</v>
      </c>
      <c r="C105" s="1774" t="s">
        <v>2634</v>
      </c>
      <c r="D105" s="1774" t="s">
        <v>2635</v>
      </c>
      <c r="E105" s="1774" t="s">
        <v>2636</v>
      </c>
      <c r="F105" s="1774" t="s">
        <v>2346</v>
      </c>
      <c r="G105" s="1774" t="s">
        <v>28</v>
      </c>
      <c r="H105" s="1774" t="s">
        <v>28</v>
      </c>
      <c r="I105" s="1774" t="s">
        <v>839</v>
      </c>
    </row>
    <row r="106" spans="1:9" ht="11.25" customHeight="1">
      <c r="A106" s="1774" t="s">
        <v>2282</v>
      </c>
      <c r="B106" s="1774" t="s">
        <v>16</v>
      </c>
      <c r="C106" s="1774" t="s">
        <v>2637</v>
      </c>
      <c r="D106" s="1774" t="s">
        <v>2638</v>
      </c>
      <c r="E106" s="1774" t="s">
        <v>2639</v>
      </c>
      <c r="F106" s="1774" t="s">
        <v>2286</v>
      </c>
      <c r="G106" s="1774" t="s">
        <v>28</v>
      </c>
      <c r="H106" s="1774" t="s">
        <v>28</v>
      </c>
      <c r="I106" s="1774" t="s">
        <v>839</v>
      </c>
    </row>
    <row r="107" spans="1:9" ht="11.25" customHeight="1">
      <c r="A107" s="1774" t="s">
        <v>2282</v>
      </c>
      <c r="B107" s="1774" t="s">
        <v>16</v>
      </c>
      <c r="C107" s="1774" t="s">
        <v>2640</v>
      </c>
      <c r="D107" s="1774" t="s">
        <v>2641</v>
      </c>
      <c r="E107" s="1774" t="s">
        <v>2642</v>
      </c>
      <c r="F107" s="1774" t="s">
        <v>2313</v>
      </c>
      <c r="G107" s="1774" t="s">
        <v>28</v>
      </c>
      <c r="H107" s="1774" t="s">
        <v>28</v>
      </c>
      <c r="I107" s="1774" t="s">
        <v>839</v>
      </c>
    </row>
    <row r="108" spans="1:9" ht="11.25" customHeight="1">
      <c r="A108" s="1774" t="s">
        <v>2282</v>
      </c>
      <c r="B108" s="1774" t="s">
        <v>16</v>
      </c>
      <c r="C108" s="1774" t="s">
        <v>2643</v>
      </c>
      <c r="D108" s="1774" t="s">
        <v>2644</v>
      </c>
      <c r="E108" s="1774" t="s">
        <v>2645</v>
      </c>
      <c r="F108" s="1774" t="s">
        <v>2297</v>
      </c>
      <c r="G108" s="1774" t="s">
        <v>28</v>
      </c>
      <c r="H108" s="1774" t="s">
        <v>28</v>
      </c>
      <c r="I108" s="1774" t="s">
        <v>839</v>
      </c>
    </row>
    <row r="109" spans="1:9" ht="11.25" customHeight="1">
      <c r="A109" s="1774" t="s">
        <v>2282</v>
      </c>
      <c r="B109" s="1774" t="s">
        <v>16</v>
      </c>
      <c r="C109" s="1774" t="s">
        <v>2646</v>
      </c>
      <c r="D109" s="1774" t="s">
        <v>2647</v>
      </c>
      <c r="E109" s="1774" t="s">
        <v>2648</v>
      </c>
      <c r="F109" s="1774" t="s">
        <v>2301</v>
      </c>
      <c r="G109" s="1774" t="s">
        <v>2649</v>
      </c>
      <c r="H109" s="1774" t="s">
        <v>28</v>
      </c>
      <c r="I109" s="1774" t="s">
        <v>839</v>
      </c>
    </row>
    <row r="110" spans="1:9" ht="11.25" customHeight="1">
      <c r="A110" s="1774" t="s">
        <v>2282</v>
      </c>
      <c r="B110" s="1774" t="s">
        <v>16</v>
      </c>
      <c r="C110" s="1774" t="s">
        <v>2650</v>
      </c>
      <c r="D110" s="1774" t="s">
        <v>2651</v>
      </c>
      <c r="E110" s="1774" t="s">
        <v>2652</v>
      </c>
      <c r="F110" s="1774" t="s">
        <v>55</v>
      </c>
      <c r="G110" s="1774" t="s">
        <v>28</v>
      </c>
      <c r="H110" s="1774" t="s">
        <v>28</v>
      </c>
      <c r="I110" s="1774" t="s">
        <v>839</v>
      </c>
    </row>
    <row r="111" spans="1:9" ht="11.25" customHeight="1">
      <c r="A111" s="1774" t="s">
        <v>2282</v>
      </c>
      <c r="B111" s="1774" t="s">
        <v>16</v>
      </c>
      <c r="C111" s="1774" t="s">
        <v>2653</v>
      </c>
      <c r="D111" s="1774" t="s">
        <v>2654</v>
      </c>
      <c r="E111" s="1774" t="s">
        <v>2655</v>
      </c>
      <c r="F111" s="1774" t="s">
        <v>2297</v>
      </c>
      <c r="G111" s="1774" t="s">
        <v>2656</v>
      </c>
      <c r="H111" s="1774" t="s">
        <v>28</v>
      </c>
      <c r="I111" s="1774" t="s">
        <v>839</v>
      </c>
    </row>
    <row r="112" spans="1:9" ht="11.25" customHeight="1">
      <c r="A112" s="1774" t="s">
        <v>2282</v>
      </c>
      <c r="B112" s="1774" t="s">
        <v>16</v>
      </c>
      <c r="C112" s="1774" t="s">
        <v>2657</v>
      </c>
      <c r="D112" s="1774" t="s">
        <v>2658</v>
      </c>
      <c r="E112" s="1774" t="s">
        <v>2659</v>
      </c>
      <c r="F112" s="1774" t="s">
        <v>2365</v>
      </c>
      <c r="G112" s="1774" t="s">
        <v>28</v>
      </c>
      <c r="H112" s="1774" t="s">
        <v>28</v>
      </c>
      <c r="I112" s="1774" t="s">
        <v>839</v>
      </c>
    </row>
    <row r="113" spans="1:9" ht="11.25" customHeight="1">
      <c r="A113" s="1774" t="s">
        <v>2282</v>
      </c>
      <c r="B113" s="1774" t="s">
        <v>16</v>
      </c>
      <c r="C113" s="1774" t="s">
        <v>2660</v>
      </c>
      <c r="D113" s="1774" t="s">
        <v>2661</v>
      </c>
      <c r="E113" s="1774" t="s">
        <v>2662</v>
      </c>
      <c r="F113" s="1774" t="s">
        <v>2663</v>
      </c>
      <c r="G113" s="1774" t="s">
        <v>2664</v>
      </c>
      <c r="H113" s="1774" t="s">
        <v>28</v>
      </c>
      <c r="I113" s="1774" t="s">
        <v>839</v>
      </c>
    </row>
    <row r="114" spans="1:9" ht="11.25" customHeight="1">
      <c r="A114" s="1774" t="s">
        <v>2282</v>
      </c>
      <c r="B114" s="1774" t="s">
        <v>16</v>
      </c>
      <c r="C114" s="1774" t="s">
        <v>2665</v>
      </c>
      <c r="D114" s="1774" t="s">
        <v>2666</v>
      </c>
      <c r="E114" s="1774" t="s">
        <v>2667</v>
      </c>
      <c r="F114" s="1774" t="s">
        <v>2668</v>
      </c>
      <c r="G114" s="1774" t="s">
        <v>28</v>
      </c>
      <c r="H114" s="1774" t="s">
        <v>28</v>
      </c>
      <c r="I114" s="1774" t="s">
        <v>839</v>
      </c>
    </row>
    <row r="115" spans="1:9" ht="11.25" customHeight="1">
      <c r="A115" s="1774" t="s">
        <v>2282</v>
      </c>
      <c r="B115" s="1774" t="s">
        <v>16</v>
      </c>
      <c r="C115" s="1774" t="s">
        <v>2669</v>
      </c>
      <c r="D115" s="1774" t="s">
        <v>2670</v>
      </c>
      <c r="E115" s="1774" t="s">
        <v>2671</v>
      </c>
      <c r="F115" s="1774" t="s">
        <v>2293</v>
      </c>
      <c r="G115" s="1774" t="s">
        <v>28</v>
      </c>
      <c r="H115" s="1774" t="s">
        <v>28</v>
      </c>
      <c r="I115" s="1774" t="s">
        <v>839</v>
      </c>
    </row>
    <row r="116" spans="1:9" ht="11.25" customHeight="1">
      <c r="A116" s="1774" t="s">
        <v>2282</v>
      </c>
      <c r="B116" s="1774" t="s">
        <v>16</v>
      </c>
      <c r="C116" s="1774" t="s">
        <v>2672</v>
      </c>
      <c r="D116" s="1774" t="s">
        <v>2673</v>
      </c>
      <c r="E116" s="1774" t="s">
        <v>2674</v>
      </c>
      <c r="F116" s="1774" t="s">
        <v>2675</v>
      </c>
      <c r="G116" s="1774" t="s">
        <v>28</v>
      </c>
      <c r="H116" s="1774" t="s">
        <v>28</v>
      </c>
      <c r="I116" s="1774" t="s">
        <v>839</v>
      </c>
    </row>
    <row r="117" spans="1:9" ht="11.25" customHeight="1">
      <c r="A117" s="1774" t="s">
        <v>2282</v>
      </c>
      <c r="B117" s="1774" t="s">
        <v>16</v>
      </c>
      <c r="C117" s="1774" t="s">
        <v>2676</v>
      </c>
      <c r="D117" s="1774" t="s">
        <v>2677</v>
      </c>
      <c r="E117" s="1774" t="s">
        <v>2678</v>
      </c>
      <c r="F117" s="1774" t="s">
        <v>2297</v>
      </c>
      <c r="G117" s="1774" t="s">
        <v>28</v>
      </c>
      <c r="H117" s="1774" t="s">
        <v>28</v>
      </c>
      <c r="I117" s="1774" t="s">
        <v>839</v>
      </c>
    </row>
    <row r="118" spans="1:9" ht="11.25" customHeight="1">
      <c r="A118" s="1774" t="s">
        <v>2282</v>
      </c>
      <c r="B118" s="1774" t="s">
        <v>16</v>
      </c>
      <c r="C118" s="1774" t="s">
        <v>2679</v>
      </c>
      <c r="D118" s="1774" t="s">
        <v>2680</v>
      </c>
      <c r="E118" s="1774" t="s">
        <v>2681</v>
      </c>
      <c r="F118" s="1774" t="s">
        <v>2482</v>
      </c>
      <c r="G118" s="1774" t="s">
        <v>28</v>
      </c>
      <c r="H118" s="1774" t="s">
        <v>28</v>
      </c>
      <c r="I118" s="1774" t="s">
        <v>839</v>
      </c>
    </row>
    <row r="119" spans="1:9" ht="11.25" customHeight="1">
      <c r="A119" s="1774" t="s">
        <v>2282</v>
      </c>
      <c r="B119" s="1774" t="s">
        <v>16</v>
      </c>
      <c r="C119" s="1774" t="s">
        <v>2682</v>
      </c>
      <c r="D119" s="1774" t="s">
        <v>2683</v>
      </c>
      <c r="E119" s="1774" t="s">
        <v>2684</v>
      </c>
      <c r="F119" s="1774" t="s">
        <v>2293</v>
      </c>
      <c r="G119" s="1774" t="s">
        <v>28</v>
      </c>
      <c r="H119" s="1774" t="s">
        <v>28</v>
      </c>
      <c r="I119" s="1774" t="s">
        <v>839</v>
      </c>
    </row>
    <row r="120" spans="1:9" ht="11.25" customHeight="1">
      <c r="A120" s="1774" t="s">
        <v>2282</v>
      </c>
      <c r="B120" s="1774" t="s">
        <v>16</v>
      </c>
      <c r="C120" s="1774" t="s">
        <v>2685</v>
      </c>
      <c r="D120" s="1774" t="s">
        <v>2686</v>
      </c>
      <c r="E120" s="1774" t="s">
        <v>2687</v>
      </c>
      <c r="F120" s="1774" t="s">
        <v>2309</v>
      </c>
      <c r="G120" s="1774" t="s">
        <v>2688</v>
      </c>
      <c r="H120" s="1774" t="s">
        <v>28</v>
      </c>
      <c r="I120" s="1774" t="s">
        <v>839</v>
      </c>
    </row>
    <row r="121" spans="1:9" ht="11.25" customHeight="1">
      <c r="A121" s="1774" t="s">
        <v>2282</v>
      </c>
      <c r="B121" s="1774" t="s">
        <v>16</v>
      </c>
      <c r="C121" s="1774" t="s">
        <v>2689</v>
      </c>
      <c r="D121" s="1774" t="s">
        <v>2690</v>
      </c>
      <c r="E121" s="1774" t="s">
        <v>2691</v>
      </c>
      <c r="F121" s="1774" t="s">
        <v>2293</v>
      </c>
      <c r="G121" s="1774" t="s">
        <v>28</v>
      </c>
      <c r="H121" s="1774" t="s">
        <v>28</v>
      </c>
      <c r="I121" s="1774" t="s">
        <v>839</v>
      </c>
    </row>
    <row r="122" spans="1:9" ht="11.25" customHeight="1">
      <c r="A122" s="1774" t="s">
        <v>2282</v>
      </c>
      <c r="B122" s="1774" t="s">
        <v>16</v>
      </c>
      <c r="C122" s="1774" t="s">
        <v>2692</v>
      </c>
      <c r="D122" s="1774" t="s">
        <v>2693</v>
      </c>
      <c r="E122" s="1774" t="s">
        <v>2694</v>
      </c>
      <c r="F122" s="1774" t="s">
        <v>2293</v>
      </c>
      <c r="G122" s="1774" t="s">
        <v>28</v>
      </c>
      <c r="H122" s="1774" t="s">
        <v>28</v>
      </c>
      <c r="I122" s="1774" t="s">
        <v>839</v>
      </c>
    </row>
    <row r="123" spans="1:9" ht="11.25" customHeight="1">
      <c r="A123" s="1774" t="s">
        <v>2282</v>
      </c>
      <c r="B123" s="1774" t="s">
        <v>16</v>
      </c>
      <c r="C123" s="1774" t="s">
        <v>2695</v>
      </c>
      <c r="D123" s="1774" t="s">
        <v>2696</v>
      </c>
      <c r="E123" s="1774" t="s">
        <v>2697</v>
      </c>
      <c r="F123" s="1774" t="s">
        <v>2297</v>
      </c>
      <c r="G123" s="1774" t="s">
        <v>28</v>
      </c>
      <c r="H123" s="1774" t="s">
        <v>28</v>
      </c>
      <c r="I123" s="1774" t="s">
        <v>839</v>
      </c>
    </row>
    <row r="124" spans="1:9" ht="11.25" customHeight="1">
      <c r="A124" s="1774" t="s">
        <v>2282</v>
      </c>
      <c r="B124" s="1774" t="s">
        <v>16</v>
      </c>
      <c r="C124" s="1774" t="s">
        <v>2698</v>
      </c>
      <c r="D124" s="1774" t="s">
        <v>2699</v>
      </c>
      <c r="E124" s="1774" t="s">
        <v>2700</v>
      </c>
      <c r="F124" s="1774" t="s">
        <v>2297</v>
      </c>
      <c r="G124" s="1774" t="s">
        <v>28</v>
      </c>
      <c r="H124" s="1774" t="s">
        <v>28</v>
      </c>
      <c r="I124" s="1774" t="s">
        <v>839</v>
      </c>
    </row>
    <row r="125" spans="1:9" ht="11.25" customHeight="1">
      <c r="A125" s="1774" t="s">
        <v>2282</v>
      </c>
      <c r="B125" s="1774" t="s">
        <v>16</v>
      </c>
      <c r="C125" s="1774" t="s">
        <v>2701</v>
      </c>
      <c r="D125" s="1774" t="s">
        <v>2702</v>
      </c>
      <c r="E125" s="1774" t="s">
        <v>2703</v>
      </c>
      <c r="F125" s="1774" t="s">
        <v>2675</v>
      </c>
      <c r="G125" s="1774" t="s">
        <v>28</v>
      </c>
      <c r="H125" s="1774" t="s">
        <v>28</v>
      </c>
      <c r="I125" s="1774" t="s">
        <v>839</v>
      </c>
    </row>
    <row r="126" spans="1:9" ht="11.25" customHeight="1">
      <c r="A126" s="1774" t="s">
        <v>2282</v>
      </c>
      <c r="B126" s="1774" t="s">
        <v>16</v>
      </c>
      <c r="C126" s="1774" t="s">
        <v>2704</v>
      </c>
      <c r="D126" s="1774" t="s">
        <v>2705</v>
      </c>
      <c r="E126" s="1774" t="s">
        <v>2706</v>
      </c>
      <c r="F126" s="1774" t="s">
        <v>2297</v>
      </c>
      <c r="G126" s="1774" t="s">
        <v>2707</v>
      </c>
      <c r="H126" s="1774" t="s">
        <v>28</v>
      </c>
      <c r="I126" s="1774" t="s">
        <v>839</v>
      </c>
    </row>
    <row r="127" spans="1:9" ht="11.25" customHeight="1">
      <c r="A127" s="1774" t="s">
        <v>2282</v>
      </c>
      <c r="B127" s="1774" t="s">
        <v>16</v>
      </c>
      <c r="C127" s="1774" t="s">
        <v>2708</v>
      </c>
      <c r="D127" s="1774" t="s">
        <v>2709</v>
      </c>
      <c r="E127" s="1774" t="s">
        <v>2710</v>
      </c>
      <c r="F127" s="1774" t="s">
        <v>2301</v>
      </c>
      <c r="G127" s="1774" t="s">
        <v>28</v>
      </c>
      <c r="H127" s="1774" t="s">
        <v>28</v>
      </c>
      <c r="I127" s="1774" t="s">
        <v>839</v>
      </c>
    </row>
    <row r="128" spans="1:9" ht="11.25" customHeight="1">
      <c r="A128" s="1774" t="s">
        <v>2282</v>
      </c>
      <c r="B128" s="1774" t="s">
        <v>16</v>
      </c>
      <c r="C128" s="1774" t="s">
        <v>2711</v>
      </c>
      <c r="D128" s="1774" t="s">
        <v>2712</v>
      </c>
      <c r="E128" s="1774" t="s">
        <v>2713</v>
      </c>
      <c r="F128" s="1774" t="s">
        <v>2589</v>
      </c>
      <c r="G128" s="1774" t="s">
        <v>2714</v>
      </c>
      <c r="H128" s="1774" t="s">
        <v>28</v>
      </c>
      <c r="I128" s="1774" t="s">
        <v>839</v>
      </c>
    </row>
    <row r="129" spans="1:9" ht="11.25" customHeight="1">
      <c r="A129" s="1774" t="s">
        <v>2282</v>
      </c>
      <c r="B129" s="1774" t="s">
        <v>16</v>
      </c>
      <c r="C129" s="1774" t="s">
        <v>2715</v>
      </c>
      <c r="D129" s="1774" t="s">
        <v>2716</v>
      </c>
      <c r="E129" s="1774" t="s">
        <v>2717</v>
      </c>
      <c r="F129" s="1774" t="s">
        <v>2445</v>
      </c>
      <c r="G129" s="1774" t="s">
        <v>28</v>
      </c>
      <c r="H129" s="1774" t="s">
        <v>28</v>
      </c>
      <c r="I129" s="1774" t="s">
        <v>839</v>
      </c>
    </row>
    <row r="130" spans="1:9" ht="11.25" customHeight="1">
      <c r="A130" s="1774" t="s">
        <v>2282</v>
      </c>
      <c r="B130" s="1774" t="s">
        <v>16</v>
      </c>
      <c r="C130" s="1774" t="s">
        <v>2718</v>
      </c>
      <c r="D130" s="1774" t="s">
        <v>2719</v>
      </c>
      <c r="E130" s="1774" t="s">
        <v>2720</v>
      </c>
      <c r="F130" s="1774" t="s">
        <v>2293</v>
      </c>
      <c r="G130" s="1774" t="s">
        <v>28</v>
      </c>
      <c r="H130" s="1774" t="s">
        <v>28</v>
      </c>
      <c r="I130" s="1774" t="s">
        <v>839</v>
      </c>
    </row>
    <row r="131" spans="1:9" ht="11.25" customHeight="1">
      <c r="A131" s="1774" t="s">
        <v>2282</v>
      </c>
      <c r="B131" s="1774" t="s">
        <v>16</v>
      </c>
      <c r="C131" s="1774" t="s">
        <v>2721</v>
      </c>
      <c r="D131" s="1774" t="s">
        <v>2722</v>
      </c>
      <c r="E131" s="1774" t="s">
        <v>2723</v>
      </c>
      <c r="F131" s="1774" t="s">
        <v>2445</v>
      </c>
      <c r="G131" s="1774" t="s">
        <v>28</v>
      </c>
      <c r="H131" s="1774" t="s">
        <v>28</v>
      </c>
      <c r="I131" s="1774" t="s">
        <v>839</v>
      </c>
    </row>
    <row r="132" spans="1:9" ht="11.25" customHeight="1">
      <c r="A132" s="1774" t="s">
        <v>2282</v>
      </c>
      <c r="B132" s="1774" t="s">
        <v>16</v>
      </c>
      <c r="C132" s="1774" t="s">
        <v>2724</v>
      </c>
      <c r="D132" s="1774" t="s">
        <v>2725</v>
      </c>
      <c r="E132" s="1774" t="s">
        <v>2726</v>
      </c>
      <c r="F132" s="1774" t="s">
        <v>2445</v>
      </c>
      <c r="G132" s="1774" t="s">
        <v>2727</v>
      </c>
      <c r="H132" s="1774" t="s">
        <v>28</v>
      </c>
      <c r="I132" s="1774" t="s">
        <v>839</v>
      </c>
    </row>
    <row r="133" spans="1:9" ht="11.25" customHeight="1">
      <c r="A133" s="1774" t="s">
        <v>2282</v>
      </c>
      <c r="B133" s="1774" t="s">
        <v>16</v>
      </c>
      <c r="C133" s="1774" t="s">
        <v>2728</v>
      </c>
      <c r="D133" s="1774" t="s">
        <v>2729</v>
      </c>
      <c r="E133" s="1774" t="s">
        <v>2730</v>
      </c>
      <c r="F133" s="1774" t="s">
        <v>2309</v>
      </c>
      <c r="G133" s="1774" t="s">
        <v>28</v>
      </c>
      <c r="H133" s="1774" t="s">
        <v>28</v>
      </c>
      <c r="I133" s="1774" t="s">
        <v>839</v>
      </c>
    </row>
    <row r="134" spans="1:9" ht="11.25" customHeight="1">
      <c r="A134" s="1774" t="s">
        <v>2282</v>
      </c>
      <c r="B134" s="1774" t="s">
        <v>16</v>
      </c>
      <c r="C134" s="1774" t="s">
        <v>2731</v>
      </c>
      <c r="D134" s="1774" t="s">
        <v>2732</v>
      </c>
      <c r="E134" s="1774" t="s">
        <v>2733</v>
      </c>
      <c r="F134" s="1774" t="s">
        <v>2473</v>
      </c>
      <c r="G134" s="1774" t="s">
        <v>28</v>
      </c>
      <c r="H134" s="1774" t="s">
        <v>28</v>
      </c>
      <c r="I134" s="1774" t="s">
        <v>839</v>
      </c>
    </row>
    <row r="135" spans="1:9" ht="11.25" customHeight="1">
      <c r="A135" s="1774" t="s">
        <v>2282</v>
      </c>
      <c r="B135" s="1774" t="s">
        <v>16</v>
      </c>
      <c r="C135" s="1774" t="s">
        <v>2734</v>
      </c>
      <c r="D135" s="1774" t="s">
        <v>2735</v>
      </c>
      <c r="E135" s="1774" t="s">
        <v>2736</v>
      </c>
      <c r="F135" s="1774" t="s">
        <v>2675</v>
      </c>
      <c r="G135" s="1774" t="s">
        <v>28</v>
      </c>
      <c r="H135" s="1774" t="s">
        <v>28</v>
      </c>
      <c r="I135" s="1774" t="s">
        <v>839</v>
      </c>
    </row>
    <row r="136" spans="1:9" ht="11.25" customHeight="1">
      <c r="A136" s="1774" t="s">
        <v>2282</v>
      </c>
      <c r="B136" s="1774" t="s">
        <v>16</v>
      </c>
      <c r="C136" s="1774" t="s">
        <v>2737</v>
      </c>
      <c r="D136" s="1774" t="s">
        <v>2738</v>
      </c>
      <c r="E136" s="1774" t="s">
        <v>2739</v>
      </c>
      <c r="F136" s="1774" t="s">
        <v>2589</v>
      </c>
      <c r="G136" s="1774" t="s">
        <v>28</v>
      </c>
      <c r="H136" s="1774" t="s">
        <v>28</v>
      </c>
      <c r="I136" s="1774" t="s">
        <v>839</v>
      </c>
    </row>
    <row r="137" spans="1:9" ht="11.25" customHeight="1">
      <c r="A137" s="1774" t="s">
        <v>2282</v>
      </c>
      <c r="B137" s="1774" t="s">
        <v>16</v>
      </c>
      <c r="C137" s="1774" t="s">
        <v>2740</v>
      </c>
      <c r="D137" s="1774" t="s">
        <v>2741</v>
      </c>
      <c r="E137" s="1774" t="s">
        <v>2742</v>
      </c>
      <c r="F137" s="1774" t="s">
        <v>2365</v>
      </c>
      <c r="G137" s="1774" t="s">
        <v>28</v>
      </c>
      <c r="H137" s="1774" t="s">
        <v>28</v>
      </c>
      <c r="I137" s="1774" t="s">
        <v>839</v>
      </c>
    </row>
    <row r="138" spans="1:9" ht="11.25" customHeight="1">
      <c r="A138" s="1774" t="s">
        <v>2282</v>
      </c>
      <c r="B138" s="1774" t="s">
        <v>16</v>
      </c>
      <c r="C138" s="1774" t="s">
        <v>2743</v>
      </c>
      <c r="D138" s="1774" t="s">
        <v>2744</v>
      </c>
      <c r="E138" s="1774" t="s">
        <v>2745</v>
      </c>
      <c r="F138" s="1774" t="s">
        <v>2478</v>
      </c>
      <c r="G138" s="1774" t="s">
        <v>28</v>
      </c>
      <c r="H138" s="1774" t="s">
        <v>28</v>
      </c>
      <c r="I138" s="1774" t="s">
        <v>839</v>
      </c>
    </row>
    <row r="139" spans="1:9" ht="11.25" customHeight="1">
      <c r="A139" s="1774" t="s">
        <v>2282</v>
      </c>
      <c r="B139" s="1774" t="s">
        <v>16</v>
      </c>
      <c r="C139" s="1774" t="s">
        <v>2746</v>
      </c>
      <c r="D139" s="1774" t="s">
        <v>2747</v>
      </c>
      <c r="E139" s="1774" t="s">
        <v>2748</v>
      </c>
      <c r="F139" s="1774" t="s">
        <v>2749</v>
      </c>
      <c r="G139" s="1774" t="s">
        <v>28</v>
      </c>
      <c r="H139" s="1774" t="s">
        <v>28</v>
      </c>
      <c r="I139" s="1774" t="s">
        <v>839</v>
      </c>
    </row>
    <row r="140" spans="1:9" ht="11.25" customHeight="1">
      <c r="A140" s="1774" t="s">
        <v>2282</v>
      </c>
      <c r="B140" s="1774" t="s">
        <v>16</v>
      </c>
      <c r="C140" s="1774" t="s">
        <v>2750</v>
      </c>
      <c r="D140" s="1774" t="s">
        <v>2751</v>
      </c>
      <c r="E140" s="1774" t="s">
        <v>2752</v>
      </c>
      <c r="F140" s="1774" t="s">
        <v>55</v>
      </c>
      <c r="G140" s="1774" t="s">
        <v>28</v>
      </c>
      <c r="H140" s="1774" t="s">
        <v>28</v>
      </c>
      <c r="I140" s="1774" t="s">
        <v>839</v>
      </c>
    </row>
    <row r="141" spans="1:9" ht="11.25" customHeight="1">
      <c r="A141" s="1774" t="s">
        <v>2282</v>
      </c>
      <c r="B141" s="1774" t="s">
        <v>16</v>
      </c>
      <c r="C141" s="1774" t="s">
        <v>2753</v>
      </c>
      <c r="D141" s="1774" t="s">
        <v>2754</v>
      </c>
      <c r="E141" s="1774" t="s">
        <v>2755</v>
      </c>
      <c r="F141" s="1774" t="s">
        <v>55</v>
      </c>
      <c r="G141" s="1774" t="s">
        <v>28</v>
      </c>
      <c r="H141" s="1774" t="s">
        <v>28</v>
      </c>
      <c r="I141" s="1774" t="s">
        <v>839</v>
      </c>
    </row>
    <row r="142" spans="1:9" ht="11.25" customHeight="1">
      <c r="A142" s="1774" t="s">
        <v>2282</v>
      </c>
      <c r="B142" s="1774" t="s">
        <v>16</v>
      </c>
      <c r="C142" s="1774" t="s">
        <v>2756</v>
      </c>
      <c r="D142" s="1774" t="s">
        <v>2757</v>
      </c>
      <c r="E142" s="1774" t="s">
        <v>2758</v>
      </c>
      <c r="F142" s="1774" t="s">
        <v>2346</v>
      </c>
      <c r="G142" s="1774" t="s">
        <v>28</v>
      </c>
      <c r="H142" s="1774" t="s">
        <v>28</v>
      </c>
      <c r="I142" s="1774" t="s">
        <v>839</v>
      </c>
    </row>
    <row r="143" spans="1:9" ht="11.25" customHeight="1">
      <c r="A143" s="1774" t="s">
        <v>2282</v>
      </c>
      <c r="B143" s="1774" t="s">
        <v>16</v>
      </c>
      <c r="C143" s="1774" t="s">
        <v>2759</v>
      </c>
      <c r="D143" s="1774" t="s">
        <v>2760</v>
      </c>
      <c r="E143" s="1774" t="s">
        <v>2761</v>
      </c>
      <c r="F143" s="1774" t="s">
        <v>2675</v>
      </c>
      <c r="G143" s="1774" t="s">
        <v>28</v>
      </c>
      <c r="H143" s="1774" t="s">
        <v>28</v>
      </c>
      <c r="I143" s="1774" t="s">
        <v>839</v>
      </c>
    </row>
    <row r="144" spans="1:9" ht="11.25" customHeight="1">
      <c r="A144" s="1774" t="s">
        <v>2282</v>
      </c>
      <c r="B144" s="1774" t="s">
        <v>16</v>
      </c>
      <c r="C144" s="1774" t="s">
        <v>2762</v>
      </c>
      <c r="D144" s="1774" t="s">
        <v>2763</v>
      </c>
      <c r="E144" s="1774" t="s">
        <v>2764</v>
      </c>
      <c r="F144" s="1774" t="s">
        <v>2301</v>
      </c>
      <c r="G144" s="1774" t="s">
        <v>28</v>
      </c>
      <c r="H144" s="1774" t="s">
        <v>28</v>
      </c>
      <c r="I144" s="1774" t="s">
        <v>839</v>
      </c>
    </row>
    <row r="145" spans="1:9" ht="11.25" customHeight="1">
      <c r="A145" s="1774" t="s">
        <v>2282</v>
      </c>
      <c r="B145" s="1774" t="s">
        <v>16</v>
      </c>
      <c r="C145" s="1774" t="s">
        <v>2765</v>
      </c>
      <c r="D145" s="1774" t="s">
        <v>2766</v>
      </c>
      <c r="E145" s="1774" t="s">
        <v>2767</v>
      </c>
      <c r="F145" s="1774" t="s">
        <v>2293</v>
      </c>
      <c r="G145" s="1774" t="s">
        <v>28</v>
      </c>
      <c r="H145" s="1774" t="s">
        <v>28</v>
      </c>
      <c r="I145" s="1774" t="s">
        <v>839</v>
      </c>
    </row>
    <row r="146" spans="1:9" ht="11.25" customHeight="1">
      <c r="A146" s="1774" t="s">
        <v>2282</v>
      </c>
      <c r="B146" s="1774" t="s">
        <v>16</v>
      </c>
      <c r="C146" s="1774" t="s">
        <v>2768</v>
      </c>
      <c r="D146" s="1774" t="s">
        <v>2769</v>
      </c>
      <c r="E146" s="1774" t="s">
        <v>2770</v>
      </c>
      <c r="F146" s="1774" t="s">
        <v>2382</v>
      </c>
      <c r="G146" s="1774" t="s">
        <v>28</v>
      </c>
      <c r="H146" s="1774" t="s">
        <v>28</v>
      </c>
      <c r="I146" s="1774" t="s">
        <v>839</v>
      </c>
    </row>
    <row r="147" spans="1:9" ht="11.25" customHeight="1">
      <c r="A147" s="1774" t="s">
        <v>2282</v>
      </c>
      <c r="B147" s="1774" t="s">
        <v>16</v>
      </c>
      <c r="C147" s="1774" t="s">
        <v>2771</v>
      </c>
      <c r="D147" s="1774" t="s">
        <v>2772</v>
      </c>
      <c r="E147" s="1774" t="s">
        <v>2773</v>
      </c>
      <c r="F147" s="1774" t="s">
        <v>2473</v>
      </c>
      <c r="G147" s="1774" t="s">
        <v>28</v>
      </c>
      <c r="H147" s="1774" t="s">
        <v>28</v>
      </c>
      <c r="I147" s="1774" t="s">
        <v>839</v>
      </c>
    </row>
    <row r="148" spans="1:9" ht="11.25" customHeight="1">
      <c r="A148" s="1774" t="s">
        <v>2282</v>
      </c>
      <c r="B148" s="1774" t="s">
        <v>16</v>
      </c>
      <c r="C148" s="1774" t="s">
        <v>2774</v>
      </c>
      <c r="D148" s="1774" t="s">
        <v>2775</v>
      </c>
      <c r="E148" s="1774" t="s">
        <v>2776</v>
      </c>
      <c r="F148" s="1774" t="s">
        <v>2297</v>
      </c>
      <c r="G148" s="1774" t="s">
        <v>28</v>
      </c>
      <c r="H148" s="1774" t="s">
        <v>28</v>
      </c>
      <c r="I148" s="1774" t="s">
        <v>839</v>
      </c>
    </row>
    <row r="149" spans="1:9" ht="11.25" customHeight="1">
      <c r="A149" s="1774" t="s">
        <v>2282</v>
      </c>
      <c r="B149" s="1774" t="s">
        <v>16</v>
      </c>
      <c r="C149" s="1774" t="s">
        <v>2777</v>
      </c>
      <c r="D149" s="1774" t="s">
        <v>2775</v>
      </c>
      <c r="E149" s="1774" t="s">
        <v>2776</v>
      </c>
      <c r="F149" s="1774" t="s">
        <v>2313</v>
      </c>
      <c r="G149" s="1774" t="s">
        <v>28</v>
      </c>
      <c r="H149" s="1774" t="s">
        <v>28</v>
      </c>
      <c r="I149" s="1774" t="s">
        <v>839</v>
      </c>
    </row>
    <row r="150" spans="1:9" ht="11.25" customHeight="1">
      <c r="A150" s="1774" t="s">
        <v>2282</v>
      </c>
      <c r="B150" s="1774" t="s">
        <v>16</v>
      </c>
      <c r="C150" s="1774" t="s">
        <v>2778</v>
      </c>
      <c r="D150" s="1774" t="s">
        <v>2779</v>
      </c>
      <c r="E150" s="1774" t="s">
        <v>2780</v>
      </c>
      <c r="F150" s="1774" t="s">
        <v>2286</v>
      </c>
      <c r="G150" s="1774" t="s">
        <v>28</v>
      </c>
      <c r="H150" s="1774" t="s">
        <v>28</v>
      </c>
      <c r="I150" s="1774" t="s">
        <v>839</v>
      </c>
    </row>
    <row r="151" spans="1:9" ht="11.25" customHeight="1">
      <c r="A151" s="1774" t="s">
        <v>2282</v>
      </c>
      <c r="B151" s="1774" t="s">
        <v>16</v>
      </c>
      <c r="C151" s="1774" t="s">
        <v>2781</v>
      </c>
      <c r="D151" s="1774" t="s">
        <v>2782</v>
      </c>
      <c r="E151" s="1774" t="s">
        <v>2783</v>
      </c>
      <c r="F151" s="1774" t="s">
        <v>55</v>
      </c>
      <c r="G151" s="1774" t="s">
        <v>28</v>
      </c>
      <c r="H151" s="1774" t="s">
        <v>28</v>
      </c>
      <c r="I151" s="1774" t="s">
        <v>839</v>
      </c>
    </row>
    <row r="152" spans="1:9" ht="11.25" customHeight="1">
      <c r="A152" s="1774" t="s">
        <v>2282</v>
      </c>
      <c r="B152" s="1774" t="s">
        <v>16</v>
      </c>
      <c r="C152" s="1774" t="s">
        <v>2784</v>
      </c>
      <c r="D152" s="1774" t="s">
        <v>2785</v>
      </c>
      <c r="E152" s="1774" t="s">
        <v>2786</v>
      </c>
      <c r="F152" s="1774" t="s">
        <v>2675</v>
      </c>
      <c r="G152" s="1774" t="s">
        <v>28</v>
      </c>
      <c r="H152" s="1774" t="s">
        <v>28</v>
      </c>
      <c r="I152" s="1774" t="s">
        <v>839</v>
      </c>
    </row>
    <row r="153" spans="1:9" ht="11.25" customHeight="1">
      <c r="A153" s="1774" t="s">
        <v>2282</v>
      </c>
      <c r="B153" s="1774" t="s">
        <v>16</v>
      </c>
      <c r="C153" s="1774" t="s">
        <v>2787</v>
      </c>
      <c r="D153" s="1774" t="s">
        <v>2788</v>
      </c>
      <c r="E153" s="1774" t="s">
        <v>2789</v>
      </c>
      <c r="F153" s="1774" t="s">
        <v>2309</v>
      </c>
      <c r="G153" s="1774" t="s">
        <v>28</v>
      </c>
      <c r="H153" s="1774" t="s">
        <v>28</v>
      </c>
      <c r="I153" s="1774" t="s">
        <v>839</v>
      </c>
    </row>
    <row r="154" spans="1:9" ht="11.25" customHeight="1">
      <c r="A154" s="1774" t="s">
        <v>2282</v>
      </c>
      <c r="B154" s="1774" t="s">
        <v>16</v>
      </c>
      <c r="C154" s="1774" t="s">
        <v>2790</v>
      </c>
      <c r="D154" s="1774" t="s">
        <v>2791</v>
      </c>
      <c r="E154" s="1774" t="s">
        <v>2792</v>
      </c>
      <c r="F154" s="1774" t="s">
        <v>2675</v>
      </c>
      <c r="G154" s="1774" t="s">
        <v>28</v>
      </c>
      <c r="H154" s="1774" t="s">
        <v>28</v>
      </c>
      <c r="I154" s="1774" t="s">
        <v>839</v>
      </c>
    </row>
    <row r="155" spans="1:9" ht="11.25" customHeight="1">
      <c r="A155" s="1774" t="s">
        <v>2282</v>
      </c>
      <c r="B155" s="1774" t="s">
        <v>16</v>
      </c>
      <c r="C155" s="1774" t="s">
        <v>2793</v>
      </c>
      <c r="D155" s="1774" t="s">
        <v>2794</v>
      </c>
      <c r="E155" s="1774" t="s">
        <v>2795</v>
      </c>
      <c r="F155" s="1774" t="s">
        <v>55</v>
      </c>
      <c r="G155" s="1774" t="s">
        <v>2796</v>
      </c>
      <c r="H155" s="1774" t="s">
        <v>28</v>
      </c>
      <c r="I155" s="1774" t="s">
        <v>839</v>
      </c>
    </row>
    <row r="156" spans="1:9" ht="11.25" customHeight="1">
      <c r="A156" s="1774" t="s">
        <v>2282</v>
      </c>
      <c r="B156" s="1774" t="s">
        <v>16</v>
      </c>
      <c r="C156" s="1774" t="s">
        <v>2797</v>
      </c>
      <c r="D156" s="1774" t="s">
        <v>2798</v>
      </c>
      <c r="E156" s="1774" t="s">
        <v>2799</v>
      </c>
      <c r="F156" s="1774" t="s">
        <v>2320</v>
      </c>
      <c r="G156" s="1774" t="s">
        <v>28</v>
      </c>
      <c r="H156" s="1774" t="s">
        <v>28</v>
      </c>
      <c r="I156" s="1774" t="s">
        <v>839</v>
      </c>
    </row>
    <row r="157" spans="1:9" ht="11.25" customHeight="1">
      <c r="A157" s="1774" t="s">
        <v>2282</v>
      </c>
      <c r="B157" s="1774" t="s">
        <v>16</v>
      </c>
      <c r="C157" s="1774" t="s">
        <v>2800</v>
      </c>
      <c r="D157" s="1774" t="s">
        <v>2801</v>
      </c>
      <c r="E157" s="1774" t="s">
        <v>2802</v>
      </c>
      <c r="F157" s="1774" t="s">
        <v>2424</v>
      </c>
      <c r="G157" s="1774" t="s">
        <v>28</v>
      </c>
      <c r="H157" s="1774" t="s">
        <v>28</v>
      </c>
      <c r="I157" s="1774" t="s">
        <v>839</v>
      </c>
    </row>
    <row r="158" spans="1:9" ht="11.25" customHeight="1">
      <c r="A158" s="1774" t="s">
        <v>2282</v>
      </c>
      <c r="B158" s="1774" t="s">
        <v>16</v>
      </c>
      <c r="C158" s="1774" t="s">
        <v>2803</v>
      </c>
      <c r="D158" s="1774" t="s">
        <v>2804</v>
      </c>
      <c r="E158" s="1774" t="s">
        <v>53</v>
      </c>
      <c r="F158" s="1774" t="s">
        <v>2805</v>
      </c>
      <c r="G158" s="1774" t="s">
        <v>28</v>
      </c>
      <c r="H158" s="1774" t="s">
        <v>28</v>
      </c>
      <c r="I158" s="1774" t="s">
        <v>839</v>
      </c>
    </row>
    <row r="159" spans="1:9" ht="11.25" customHeight="1">
      <c r="A159" s="1774" t="s">
        <v>2282</v>
      </c>
      <c r="B159" s="1774" t="s">
        <v>16</v>
      </c>
      <c r="C159" s="1774" t="s">
        <v>13</v>
      </c>
      <c r="D159" s="1774" t="s">
        <v>50</v>
      </c>
      <c r="E159" s="1774" t="s">
        <v>53</v>
      </c>
      <c r="F159" s="1774" t="s">
        <v>55</v>
      </c>
      <c r="G159" s="1774" t="s">
        <v>28</v>
      </c>
      <c r="H159" s="1774" t="s">
        <v>28</v>
      </c>
      <c r="I159" s="1774" t="s">
        <v>839</v>
      </c>
    </row>
    <row r="160" spans="1:9" ht="11.25" customHeight="1">
      <c r="A160" s="1774" t="s">
        <v>2282</v>
      </c>
      <c r="B160" s="1774" t="s">
        <v>16</v>
      </c>
      <c r="C160" s="1774" t="s">
        <v>2806</v>
      </c>
      <c r="D160" s="1774" t="s">
        <v>2807</v>
      </c>
      <c r="E160" s="1774" t="s">
        <v>2808</v>
      </c>
      <c r="F160" s="1774" t="s">
        <v>2293</v>
      </c>
      <c r="G160" s="1774" t="s">
        <v>28</v>
      </c>
      <c r="H160" s="1774" t="s">
        <v>28</v>
      </c>
      <c r="I160" s="1774" t="s">
        <v>839</v>
      </c>
    </row>
    <row r="161" spans="1:9" ht="11.25" customHeight="1">
      <c r="A161" s="1774" t="s">
        <v>2282</v>
      </c>
      <c r="B161" s="1774" t="s">
        <v>16</v>
      </c>
      <c r="C161" s="1774" t="s">
        <v>2809</v>
      </c>
      <c r="D161" s="1774" t="s">
        <v>2810</v>
      </c>
      <c r="E161" s="1774" t="s">
        <v>2811</v>
      </c>
      <c r="F161" s="1774" t="s">
        <v>2286</v>
      </c>
      <c r="G161" s="1774" t="s">
        <v>28</v>
      </c>
      <c r="H161" s="1774" t="s">
        <v>28</v>
      </c>
      <c r="I161" s="1774" t="s">
        <v>839</v>
      </c>
    </row>
    <row r="162" spans="1:9" ht="11.25" customHeight="1">
      <c r="A162" s="1774" t="s">
        <v>2282</v>
      </c>
      <c r="B162" s="1774" t="s">
        <v>16</v>
      </c>
      <c r="C162" s="1774" t="s">
        <v>2812</v>
      </c>
      <c r="D162" s="1774" t="s">
        <v>2813</v>
      </c>
      <c r="E162" s="1774" t="s">
        <v>2814</v>
      </c>
      <c r="F162" s="1774" t="s">
        <v>2478</v>
      </c>
      <c r="G162" s="1774" t="s">
        <v>28</v>
      </c>
      <c r="H162" s="1774" t="s">
        <v>28</v>
      </c>
      <c r="I162" s="1774" t="s">
        <v>839</v>
      </c>
    </row>
    <row r="163" spans="1:9" ht="11.25" customHeight="1">
      <c r="A163" s="1774" t="s">
        <v>2282</v>
      </c>
      <c r="B163" s="1774" t="s">
        <v>16</v>
      </c>
      <c r="C163" s="1774" t="s">
        <v>2815</v>
      </c>
      <c r="D163" s="1774" t="s">
        <v>2816</v>
      </c>
      <c r="E163" s="1774" t="s">
        <v>2817</v>
      </c>
      <c r="F163" s="1774" t="s">
        <v>2478</v>
      </c>
      <c r="G163" s="1774" t="s">
        <v>28</v>
      </c>
      <c r="H163" s="1774" t="s">
        <v>28</v>
      </c>
      <c r="I163" s="1774" t="s">
        <v>839</v>
      </c>
    </row>
    <row r="164" spans="1:9" ht="11.25" customHeight="1">
      <c r="A164" s="1774" t="s">
        <v>2282</v>
      </c>
      <c r="B164" s="1774" t="s">
        <v>16</v>
      </c>
      <c r="C164" s="1774" t="s">
        <v>2818</v>
      </c>
      <c r="D164" s="1774" t="s">
        <v>2819</v>
      </c>
      <c r="E164" s="1774" t="s">
        <v>2820</v>
      </c>
      <c r="F164" s="1774" t="s">
        <v>2354</v>
      </c>
      <c r="G164" s="1774" t="s">
        <v>28</v>
      </c>
      <c r="H164" s="1774" t="s">
        <v>28</v>
      </c>
      <c r="I164" s="1774" t="s">
        <v>839</v>
      </c>
    </row>
    <row r="165" spans="1:9" ht="11.25" customHeight="1">
      <c r="A165" s="1774" t="s">
        <v>2282</v>
      </c>
      <c r="B165" s="1774" t="s">
        <v>16</v>
      </c>
      <c r="C165" s="1774" t="s">
        <v>2821</v>
      </c>
      <c r="D165" s="1774" t="s">
        <v>2822</v>
      </c>
      <c r="E165" s="1774" t="s">
        <v>2823</v>
      </c>
      <c r="F165" s="1774" t="s">
        <v>55</v>
      </c>
      <c r="G165" s="1774" t="s">
        <v>28</v>
      </c>
      <c r="H165" s="1774" t="s">
        <v>28</v>
      </c>
      <c r="I165" s="1774" t="s">
        <v>839</v>
      </c>
    </row>
    <row r="166" spans="1:9" ht="11.25" customHeight="1">
      <c r="A166" s="1774" t="s">
        <v>2282</v>
      </c>
      <c r="B166" s="1774" t="s">
        <v>16</v>
      </c>
      <c r="C166" s="1774" t="s">
        <v>2824</v>
      </c>
      <c r="D166" s="1774" t="s">
        <v>2825</v>
      </c>
      <c r="E166" s="1774" t="s">
        <v>2826</v>
      </c>
      <c r="F166" s="1774" t="s">
        <v>2346</v>
      </c>
      <c r="G166" s="1774" t="s">
        <v>28</v>
      </c>
      <c r="H166" s="1774" t="s">
        <v>28</v>
      </c>
      <c r="I166" s="1774" t="s">
        <v>839</v>
      </c>
    </row>
    <row r="167" spans="1:9" ht="11.25" customHeight="1">
      <c r="A167" s="1774" t="s">
        <v>2282</v>
      </c>
      <c r="B167" s="1774" t="s">
        <v>16</v>
      </c>
      <c r="C167" s="1774" t="s">
        <v>2827</v>
      </c>
      <c r="D167" s="1774" t="s">
        <v>2828</v>
      </c>
      <c r="E167" s="1774" t="s">
        <v>2829</v>
      </c>
      <c r="F167" s="1774" t="s">
        <v>2589</v>
      </c>
      <c r="G167" s="1774" t="s">
        <v>28</v>
      </c>
      <c r="H167" s="1774" t="s">
        <v>28</v>
      </c>
      <c r="I167" s="1774" t="s">
        <v>839</v>
      </c>
    </row>
    <row r="168" spans="1:9" ht="11.25" customHeight="1">
      <c r="A168" s="1774" t="s">
        <v>2282</v>
      </c>
      <c r="B168" s="1774" t="s">
        <v>16</v>
      </c>
      <c r="C168" s="1774" t="s">
        <v>2830</v>
      </c>
      <c r="D168" s="1774" t="s">
        <v>2831</v>
      </c>
      <c r="E168" s="1774" t="s">
        <v>2832</v>
      </c>
      <c r="F168" s="1774" t="s">
        <v>2286</v>
      </c>
      <c r="G168" s="1774" t="s">
        <v>28</v>
      </c>
      <c r="H168" s="1774" t="s">
        <v>28</v>
      </c>
      <c r="I168" s="1774" t="s">
        <v>839</v>
      </c>
    </row>
    <row r="169" spans="1:9" ht="11.25" customHeight="1">
      <c r="A169" s="1774" t="s">
        <v>2282</v>
      </c>
      <c r="B169" s="1774" t="s">
        <v>16</v>
      </c>
      <c r="C169" s="1774" t="s">
        <v>2833</v>
      </c>
      <c r="D169" s="1774" t="s">
        <v>2834</v>
      </c>
      <c r="E169" s="1774" t="s">
        <v>2835</v>
      </c>
      <c r="F169" s="1774" t="s">
        <v>2589</v>
      </c>
      <c r="G169" s="1774" t="s">
        <v>28</v>
      </c>
      <c r="H169" s="1774" t="s">
        <v>28</v>
      </c>
      <c r="I169" s="1774" t="s">
        <v>839</v>
      </c>
    </row>
    <row r="170" spans="1:9" ht="11.25" customHeight="1">
      <c r="A170" s="1774" t="s">
        <v>2282</v>
      </c>
      <c r="B170" s="1774" t="s">
        <v>16</v>
      </c>
      <c r="C170" s="1774" t="s">
        <v>2836</v>
      </c>
      <c r="D170" s="1774" t="s">
        <v>2837</v>
      </c>
      <c r="E170" s="1774" t="s">
        <v>2838</v>
      </c>
      <c r="F170" s="1774" t="s">
        <v>2293</v>
      </c>
      <c r="G170" s="1774" t="s">
        <v>28</v>
      </c>
      <c r="H170" s="1774" t="s">
        <v>28</v>
      </c>
      <c r="I170" s="1774" t="s">
        <v>839</v>
      </c>
    </row>
    <row r="171" spans="1:9" ht="11.25" customHeight="1">
      <c r="A171" s="1774" t="s">
        <v>2282</v>
      </c>
      <c r="B171" s="1774" t="s">
        <v>16</v>
      </c>
      <c r="C171" s="1774" t="s">
        <v>2839</v>
      </c>
      <c r="D171" s="1774" t="s">
        <v>2840</v>
      </c>
      <c r="E171" s="1774" t="s">
        <v>2841</v>
      </c>
      <c r="F171" s="1774" t="s">
        <v>2842</v>
      </c>
      <c r="G171" s="1774" t="s">
        <v>28</v>
      </c>
      <c r="H171" s="1774" t="s">
        <v>28</v>
      </c>
      <c r="I171" s="1774" t="s">
        <v>839</v>
      </c>
    </row>
    <row r="172" spans="1:9" ht="11.25" customHeight="1">
      <c r="A172" s="1774" t="s">
        <v>2282</v>
      </c>
      <c r="B172" s="1774" t="s">
        <v>16</v>
      </c>
      <c r="C172" s="1774" t="s">
        <v>2843</v>
      </c>
      <c r="D172" s="1774" t="s">
        <v>2844</v>
      </c>
      <c r="E172" s="1774" t="s">
        <v>2845</v>
      </c>
      <c r="F172" s="1774" t="s">
        <v>55</v>
      </c>
      <c r="G172" s="1774" t="s">
        <v>28</v>
      </c>
      <c r="H172" s="1774" t="s">
        <v>28</v>
      </c>
      <c r="I172" s="1774" t="s">
        <v>839</v>
      </c>
    </row>
    <row r="173" spans="1:9" ht="11.25" customHeight="1">
      <c r="A173" s="1774" t="s">
        <v>2282</v>
      </c>
      <c r="B173" s="1774" t="s">
        <v>16</v>
      </c>
      <c r="C173" s="1774" t="s">
        <v>2846</v>
      </c>
      <c r="D173" s="1774" t="s">
        <v>2847</v>
      </c>
      <c r="E173" s="1774" t="s">
        <v>2848</v>
      </c>
      <c r="F173" s="1774" t="s">
        <v>2313</v>
      </c>
      <c r="G173" s="1774" t="s">
        <v>28</v>
      </c>
      <c r="H173" s="1774" t="s">
        <v>28</v>
      </c>
      <c r="I173" s="1774" t="s">
        <v>839</v>
      </c>
    </row>
    <row r="174" spans="1:9" ht="11.25" customHeight="1">
      <c r="A174" s="1774" t="s">
        <v>2282</v>
      </c>
      <c r="B174" s="1774" t="s">
        <v>16</v>
      </c>
      <c r="C174" s="1774" t="s">
        <v>2849</v>
      </c>
      <c r="D174" s="1774" t="s">
        <v>2850</v>
      </c>
      <c r="E174" s="1774" t="s">
        <v>2851</v>
      </c>
      <c r="F174" s="1774" t="s">
        <v>2852</v>
      </c>
      <c r="G174" s="1774" t="s">
        <v>28</v>
      </c>
      <c r="H174" s="1774" t="s">
        <v>28</v>
      </c>
      <c r="I174" s="1774" t="s">
        <v>839</v>
      </c>
    </row>
    <row r="175" spans="1:9" ht="11.25" customHeight="1">
      <c r="A175" s="1774" t="s">
        <v>2282</v>
      </c>
      <c r="B175" s="1774" t="s">
        <v>16</v>
      </c>
      <c r="C175" s="1774" t="s">
        <v>2853</v>
      </c>
      <c r="D175" s="1774" t="s">
        <v>2854</v>
      </c>
      <c r="E175" s="1774" t="s">
        <v>2841</v>
      </c>
      <c r="F175" s="1774" t="s">
        <v>2498</v>
      </c>
      <c r="G175" s="1774" t="s">
        <v>2855</v>
      </c>
      <c r="H175" s="1774" t="s">
        <v>28</v>
      </c>
      <c r="I175" s="1774" t="s">
        <v>839</v>
      </c>
    </row>
    <row r="176" spans="1:9" ht="11.25" customHeight="1">
      <c r="A176" s="1774" t="s">
        <v>2282</v>
      </c>
      <c r="B176" s="1774" t="s">
        <v>16</v>
      </c>
      <c r="C176" s="1774" t="s">
        <v>2856</v>
      </c>
      <c r="D176" s="1774" t="s">
        <v>2857</v>
      </c>
      <c r="E176" s="1774" t="s">
        <v>2841</v>
      </c>
      <c r="F176" s="1774" t="s">
        <v>2858</v>
      </c>
      <c r="G176" s="1774" t="s">
        <v>28</v>
      </c>
      <c r="H176" s="1774" t="s">
        <v>28</v>
      </c>
      <c r="I176" s="1774" t="s">
        <v>839</v>
      </c>
    </row>
    <row r="177" spans="1:9" ht="11.25" customHeight="1">
      <c r="A177" s="1774" t="s">
        <v>2282</v>
      </c>
      <c r="B177" s="1774" t="s">
        <v>16</v>
      </c>
      <c r="C177" s="1774" t="s">
        <v>2294</v>
      </c>
      <c r="D177" s="1774" t="s">
        <v>2295</v>
      </c>
      <c r="E177" s="1774" t="s">
        <v>2296</v>
      </c>
      <c r="F177" s="1774" t="s">
        <v>2297</v>
      </c>
      <c r="G177" s="1774" t="s">
        <v>28</v>
      </c>
      <c r="H177" s="1774" t="s">
        <v>28</v>
      </c>
      <c r="I177" s="1774" t="s">
        <v>925</v>
      </c>
    </row>
    <row r="178" spans="1:9" ht="11.25" customHeight="1">
      <c r="A178" s="1774" t="s">
        <v>2282</v>
      </c>
      <c r="B178" s="1774" t="s">
        <v>16</v>
      </c>
      <c r="C178" s="1774" t="s">
        <v>2310</v>
      </c>
      <c r="D178" s="1774" t="s">
        <v>2311</v>
      </c>
      <c r="E178" s="1774" t="s">
        <v>2312</v>
      </c>
      <c r="F178" s="1774" t="s">
        <v>2313</v>
      </c>
      <c r="G178" s="1774" t="s">
        <v>28</v>
      </c>
      <c r="H178" s="1774" t="s">
        <v>28</v>
      </c>
      <c r="I178" s="1774" t="s">
        <v>925</v>
      </c>
    </row>
    <row r="179" spans="1:9" ht="11.25" customHeight="1">
      <c r="A179" s="1774" t="s">
        <v>2282</v>
      </c>
      <c r="B179" s="1774" t="s">
        <v>16</v>
      </c>
      <c r="C179" s="1774" t="s">
        <v>2314</v>
      </c>
      <c r="D179" s="1774" t="s">
        <v>2315</v>
      </c>
      <c r="E179" s="1774" t="s">
        <v>2316</v>
      </c>
      <c r="F179" s="1774" t="s">
        <v>2317</v>
      </c>
      <c r="G179" s="1774" t="s">
        <v>2318</v>
      </c>
      <c r="H179" s="1774" t="s">
        <v>28</v>
      </c>
      <c r="I179" s="1774" t="s">
        <v>925</v>
      </c>
    </row>
    <row r="180" spans="1:9" ht="11.25" customHeight="1">
      <c r="A180" s="1774" t="s">
        <v>2282</v>
      </c>
      <c r="B180" s="1774" t="s">
        <v>16</v>
      </c>
      <c r="C180" s="1774" t="s">
        <v>2319</v>
      </c>
      <c r="D180" s="1774" t="s">
        <v>2315</v>
      </c>
      <c r="E180" s="1774" t="s">
        <v>2316</v>
      </c>
      <c r="F180" s="1774" t="s">
        <v>2320</v>
      </c>
      <c r="G180" s="1774" t="s">
        <v>28</v>
      </c>
      <c r="H180" s="1774" t="s">
        <v>28</v>
      </c>
      <c r="I180" s="1774" t="s">
        <v>925</v>
      </c>
    </row>
    <row r="181" spans="1:9" ht="11.25" customHeight="1">
      <c r="A181" s="1774" t="s">
        <v>2282</v>
      </c>
      <c r="B181" s="1774" t="s">
        <v>16</v>
      </c>
      <c r="C181" s="1774" t="s">
        <v>2321</v>
      </c>
      <c r="D181" s="1774" t="s">
        <v>2322</v>
      </c>
      <c r="E181" s="1774" t="s">
        <v>2323</v>
      </c>
      <c r="F181" s="1774" t="s">
        <v>2293</v>
      </c>
      <c r="G181" s="1774" t="s">
        <v>28</v>
      </c>
      <c r="H181" s="1774" t="s">
        <v>28</v>
      </c>
      <c r="I181" s="1774" t="s">
        <v>925</v>
      </c>
    </row>
    <row r="182" spans="1:9" ht="11.25" customHeight="1">
      <c r="A182" s="1774" t="s">
        <v>2282</v>
      </c>
      <c r="B182" s="1774" t="s">
        <v>16</v>
      </c>
      <c r="C182" s="1774" t="s">
        <v>2355</v>
      </c>
      <c r="D182" s="1774" t="s">
        <v>2356</v>
      </c>
      <c r="E182" s="1774" t="s">
        <v>2357</v>
      </c>
      <c r="F182" s="1774" t="s">
        <v>2354</v>
      </c>
      <c r="G182" s="1774" t="s">
        <v>28</v>
      </c>
      <c r="H182" s="1774" t="s">
        <v>28</v>
      </c>
      <c r="I182" s="1774" t="s">
        <v>925</v>
      </c>
    </row>
    <row r="183" spans="1:9" ht="11.25" customHeight="1">
      <c r="A183" s="1774" t="s">
        <v>2282</v>
      </c>
      <c r="B183" s="1774" t="s">
        <v>16</v>
      </c>
      <c r="C183" s="1774" t="s">
        <v>2366</v>
      </c>
      <c r="D183" s="1774" t="s">
        <v>2367</v>
      </c>
      <c r="E183" s="1774" t="s">
        <v>2368</v>
      </c>
      <c r="F183" s="1774" t="s">
        <v>2286</v>
      </c>
      <c r="G183" s="1774" t="s">
        <v>28</v>
      </c>
      <c r="H183" s="1774" t="s">
        <v>28</v>
      </c>
      <c r="I183" s="1774" t="s">
        <v>925</v>
      </c>
    </row>
    <row r="184" spans="1:9" ht="11.25" customHeight="1">
      <c r="A184" s="1774" t="s">
        <v>2282</v>
      </c>
      <c r="B184" s="1774" t="s">
        <v>16</v>
      </c>
      <c r="C184" s="1774" t="s">
        <v>2395</v>
      </c>
      <c r="D184" s="1774" t="s">
        <v>2396</v>
      </c>
      <c r="E184" s="1774" t="s">
        <v>2397</v>
      </c>
      <c r="F184" s="1774" t="s">
        <v>2398</v>
      </c>
      <c r="G184" s="1774" t="s">
        <v>28</v>
      </c>
      <c r="H184" s="1774" t="s">
        <v>28</v>
      </c>
      <c r="I184" s="1774" t="s">
        <v>925</v>
      </c>
    </row>
    <row r="185" spans="1:9" ht="11.25" customHeight="1">
      <c r="A185" s="1774" t="s">
        <v>2282</v>
      </c>
      <c r="B185" s="1774" t="s">
        <v>16</v>
      </c>
      <c r="C185" s="1774" t="s">
        <v>2425</v>
      </c>
      <c r="D185" s="1774" t="s">
        <v>2426</v>
      </c>
      <c r="E185" s="1774" t="s">
        <v>2427</v>
      </c>
      <c r="F185" s="1774" t="s">
        <v>2286</v>
      </c>
      <c r="G185" s="1774" t="s">
        <v>28</v>
      </c>
      <c r="H185" s="1774" t="s">
        <v>28</v>
      </c>
      <c r="I185" s="1774" t="s">
        <v>925</v>
      </c>
    </row>
    <row r="186" spans="1:9" ht="11.25" customHeight="1">
      <c r="A186" s="1774" t="s">
        <v>2282</v>
      </c>
      <c r="B186" s="1774" t="s">
        <v>16</v>
      </c>
      <c r="C186" s="1774" t="s">
        <v>2431</v>
      </c>
      <c r="D186" s="1774" t="s">
        <v>2432</v>
      </c>
      <c r="E186" s="1774" t="s">
        <v>2316</v>
      </c>
      <c r="F186" s="1774" t="s">
        <v>2433</v>
      </c>
      <c r="G186" s="1774" t="s">
        <v>2434</v>
      </c>
      <c r="H186" s="1774" t="s">
        <v>28</v>
      </c>
      <c r="I186" s="1774" t="s">
        <v>925</v>
      </c>
    </row>
    <row r="187" spans="1:9" ht="11.25" customHeight="1">
      <c r="A187" s="1774" t="s">
        <v>2282</v>
      </c>
      <c r="B187" s="1774" t="s">
        <v>16</v>
      </c>
      <c r="C187" s="1774" t="s">
        <v>2439</v>
      </c>
      <c r="D187" s="1774" t="s">
        <v>2440</v>
      </c>
      <c r="E187" s="1774" t="s">
        <v>2441</v>
      </c>
      <c r="F187" s="1774" t="s">
        <v>2293</v>
      </c>
      <c r="G187" s="1774" t="s">
        <v>28</v>
      </c>
      <c r="H187" s="1774" t="s">
        <v>28</v>
      </c>
      <c r="I187" s="1774" t="s">
        <v>925</v>
      </c>
    </row>
    <row r="188" spans="1:9" ht="11.25" customHeight="1">
      <c r="A188" s="1774" t="s">
        <v>2282</v>
      </c>
      <c r="B188" s="1774" t="s">
        <v>16</v>
      </c>
      <c r="C188" s="1774" t="s">
        <v>2446</v>
      </c>
      <c r="D188" s="1774" t="s">
        <v>2447</v>
      </c>
      <c r="E188" s="1774" t="s">
        <v>2448</v>
      </c>
      <c r="F188" s="1774" t="s">
        <v>2354</v>
      </c>
      <c r="G188" s="1774" t="s">
        <v>28</v>
      </c>
      <c r="H188" s="1774" t="s">
        <v>28</v>
      </c>
      <c r="I188" s="1774" t="s">
        <v>925</v>
      </c>
    </row>
    <row r="189" spans="1:9" ht="11.25" customHeight="1">
      <c r="A189" s="1774" t="s">
        <v>2282</v>
      </c>
      <c r="B189" s="1774" t="s">
        <v>16</v>
      </c>
      <c r="C189" s="1774" t="s">
        <v>2461</v>
      </c>
      <c r="D189" s="1774" t="s">
        <v>2462</v>
      </c>
      <c r="E189" s="1774" t="s">
        <v>2463</v>
      </c>
      <c r="F189" s="1774" t="s">
        <v>2350</v>
      </c>
      <c r="G189" s="1774" t="s">
        <v>28</v>
      </c>
      <c r="H189" s="1774" t="s">
        <v>28</v>
      </c>
      <c r="I189" s="1774" t="s">
        <v>925</v>
      </c>
    </row>
    <row r="190" spans="1:9" ht="11.25" customHeight="1">
      <c r="A190" s="1774" t="s">
        <v>2282</v>
      </c>
      <c r="B190" s="1774" t="s">
        <v>16</v>
      </c>
      <c r="C190" s="1774" t="s">
        <v>28</v>
      </c>
      <c r="D190" s="1774" t="s">
        <v>2493</v>
      </c>
      <c r="E190" s="1774" t="s">
        <v>2494</v>
      </c>
      <c r="F190" s="1774" t="s">
        <v>2365</v>
      </c>
      <c r="G190" s="1774" t="s">
        <v>28</v>
      </c>
      <c r="H190" s="1774" t="s">
        <v>28</v>
      </c>
      <c r="I190" s="1774" t="s">
        <v>925</v>
      </c>
    </row>
    <row r="191" spans="1:9" ht="11.25" customHeight="1">
      <c r="A191" s="1774" t="s">
        <v>2282</v>
      </c>
      <c r="B191" s="1774" t="s">
        <v>16</v>
      </c>
      <c r="C191" s="1774" t="s">
        <v>2499</v>
      </c>
      <c r="D191" s="1774" t="s">
        <v>2500</v>
      </c>
      <c r="E191" s="1774" t="s">
        <v>2501</v>
      </c>
      <c r="F191" s="1774" t="s">
        <v>2502</v>
      </c>
      <c r="G191" s="1774" t="s">
        <v>28</v>
      </c>
      <c r="H191" s="1774" t="s">
        <v>28</v>
      </c>
      <c r="I191" s="1774" t="s">
        <v>925</v>
      </c>
    </row>
    <row r="192" spans="1:9" ht="11.25" customHeight="1">
      <c r="A192" s="1774" t="s">
        <v>2282</v>
      </c>
      <c r="B192" s="1774" t="s">
        <v>16</v>
      </c>
      <c r="C192" s="1774" t="s">
        <v>2503</v>
      </c>
      <c r="D192" s="1774" t="s">
        <v>2504</v>
      </c>
      <c r="E192" s="1774" t="s">
        <v>2505</v>
      </c>
      <c r="F192" s="1774" t="s">
        <v>2354</v>
      </c>
      <c r="G192" s="1774" t="s">
        <v>28</v>
      </c>
      <c r="H192" s="1774" t="s">
        <v>28</v>
      </c>
      <c r="I192" s="1774" t="s">
        <v>925</v>
      </c>
    </row>
    <row r="193" spans="1:9" ht="11.25" customHeight="1">
      <c r="A193" s="1774" t="s">
        <v>2282</v>
      </c>
      <c r="B193" s="1774" t="s">
        <v>16</v>
      </c>
      <c r="C193" s="1774" t="s">
        <v>2547</v>
      </c>
      <c r="D193" s="1774" t="s">
        <v>2548</v>
      </c>
      <c r="E193" s="1774" t="s">
        <v>2549</v>
      </c>
      <c r="F193" s="1774" t="s">
        <v>2445</v>
      </c>
      <c r="G193" s="1774" t="s">
        <v>28</v>
      </c>
      <c r="H193" s="1774" t="s">
        <v>28</v>
      </c>
      <c r="I193" s="1774" t="s">
        <v>925</v>
      </c>
    </row>
    <row r="194" spans="1:9" ht="11.25" customHeight="1">
      <c r="A194" s="1774" t="s">
        <v>2282</v>
      </c>
      <c r="B194" s="1774" t="s">
        <v>16</v>
      </c>
      <c r="C194" s="1774" t="s">
        <v>2559</v>
      </c>
      <c r="D194" s="1774" t="s">
        <v>2560</v>
      </c>
      <c r="E194" s="1774" t="s">
        <v>2561</v>
      </c>
      <c r="F194" s="1774" t="s">
        <v>2562</v>
      </c>
      <c r="G194" s="1774" t="s">
        <v>2563</v>
      </c>
      <c r="H194" s="1774" t="s">
        <v>28</v>
      </c>
      <c r="I194" s="1774" t="s">
        <v>925</v>
      </c>
    </row>
    <row r="195" spans="1:9" ht="11.25" customHeight="1">
      <c r="A195" s="1774" t="s">
        <v>2282</v>
      </c>
      <c r="B195" s="1774" t="s">
        <v>16</v>
      </c>
      <c r="C195" s="1774" t="s">
        <v>2610</v>
      </c>
      <c r="D195" s="1774" t="s">
        <v>2611</v>
      </c>
      <c r="E195" s="1774" t="s">
        <v>2612</v>
      </c>
      <c r="F195" s="1774" t="s">
        <v>2309</v>
      </c>
      <c r="G195" s="1774" t="s">
        <v>28</v>
      </c>
      <c r="H195" s="1774" t="s">
        <v>28</v>
      </c>
      <c r="I195" s="1774" t="s">
        <v>925</v>
      </c>
    </row>
    <row r="196" spans="1:9" ht="11.25" customHeight="1">
      <c r="A196" s="1774" t="s">
        <v>2282</v>
      </c>
      <c r="B196" s="1774" t="s">
        <v>16</v>
      </c>
      <c r="C196" s="1774" t="s">
        <v>2613</v>
      </c>
      <c r="D196" s="1774" t="s">
        <v>2614</v>
      </c>
      <c r="E196" s="1774" t="s">
        <v>2615</v>
      </c>
      <c r="F196" s="1774" t="s">
        <v>2382</v>
      </c>
      <c r="G196" s="1774" t="s">
        <v>28</v>
      </c>
      <c r="H196" s="1774" t="s">
        <v>28</v>
      </c>
      <c r="I196" s="1774" t="s">
        <v>925</v>
      </c>
    </row>
    <row r="197" spans="1:9" ht="11.25" customHeight="1">
      <c r="A197" s="1774" t="s">
        <v>2282</v>
      </c>
      <c r="B197" s="1774" t="s">
        <v>16</v>
      </c>
      <c r="C197" s="1774" t="s">
        <v>2622</v>
      </c>
      <c r="D197" s="1774" t="s">
        <v>2623</v>
      </c>
      <c r="E197" s="1774" t="s">
        <v>2624</v>
      </c>
      <c r="F197" s="1774" t="s">
        <v>2625</v>
      </c>
      <c r="G197" s="1774" t="s">
        <v>2626</v>
      </c>
      <c r="H197" s="1774" t="s">
        <v>28</v>
      </c>
      <c r="I197" s="1774" t="s">
        <v>925</v>
      </c>
    </row>
    <row r="198" spans="1:9" ht="11.25" customHeight="1">
      <c r="A198" s="1774" t="s">
        <v>2282</v>
      </c>
      <c r="B198" s="1774" t="s">
        <v>16</v>
      </c>
      <c r="C198" s="1774" t="s">
        <v>2627</v>
      </c>
      <c r="D198" s="1774" t="s">
        <v>2623</v>
      </c>
      <c r="E198" s="1774" t="s">
        <v>2624</v>
      </c>
      <c r="F198" s="1774" t="s">
        <v>2628</v>
      </c>
      <c r="G198" s="1774" t="s">
        <v>28</v>
      </c>
      <c r="H198" s="1774" t="s">
        <v>28</v>
      </c>
      <c r="I198" s="1774" t="s">
        <v>925</v>
      </c>
    </row>
    <row r="199" spans="1:9" ht="11.25" customHeight="1">
      <c r="A199" s="1774" t="s">
        <v>2282</v>
      </c>
      <c r="B199" s="1774" t="s">
        <v>16</v>
      </c>
      <c r="C199" s="1774" t="s">
        <v>2629</v>
      </c>
      <c r="D199" s="1774" t="s">
        <v>2630</v>
      </c>
      <c r="E199" s="1774" t="s">
        <v>2631</v>
      </c>
      <c r="F199" s="1774" t="s">
        <v>2632</v>
      </c>
      <c r="G199" s="1774" t="s">
        <v>2633</v>
      </c>
      <c r="H199" s="1774" t="s">
        <v>28</v>
      </c>
      <c r="I199" s="1774" t="s">
        <v>925</v>
      </c>
    </row>
    <row r="200" spans="1:9" ht="11.25" customHeight="1">
      <c r="A200" s="1774" t="s">
        <v>2282</v>
      </c>
      <c r="B200" s="1774" t="s">
        <v>16</v>
      </c>
      <c r="C200" s="1774" t="s">
        <v>2643</v>
      </c>
      <c r="D200" s="1774" t="s">
        <v>2644</v>
      </c>
      <c r="E200" s="1774" t="s">
        <v>2645</v>
      </c>
      <c r="F200" s="1774" t="s">
        <v>2297</v>
      </c>
      <c r="G200" s="1774" t="s">
        <v>28</v>
      </c>
      <c r="H200" s="1774" t="s">
        <v>28</v>
      </c>
      <c r="I200" s="1774" t="s">
        <v>925</v>
      </c>
    </row>
    <row r="201" spans="1:9" ht="11.25" customHeight="1">
      <c r="A201" s="1774" t="s">
        <v>2282</v>
      </c>
      <c r="B201" s="1774" t="s">
        <v>16</v>
      </c>
      <c r="C201" s="1774" t="s">
        <v>2646</v>
      </c>
      <c r="D201" s="1774" t="s">
        <v>2647</v>
      </c>
      <c r="E201" s="1774" t="s">
        <v>2648</v>
      </c>
      <c r="F201" s="1774" t="s">
        <v>2301</v>
      </c>
      <c r="G201" s="1774" t="s">
        <v>2649</v>
      </c>
      <c r="H201" s="1774" t="s">
        <v>28</v>
      </c>
      <c r="I201" s="1774" t="s">
        <v>925</v>
      </c>
    </row>
    <row r="202" spans="1:9" ht="11.25" customHeight="1">
      <c r="A202" s="1774" t="s">
        <v>2282</v>
      </c>
      <c r="B202" s="1774" t="s">
        <v>16</v>
      </c>
      <c r="C202" s="1774" t="s">
        <v>2657</v>
      </c>
      <c r="D202" s="1774" t="s">
        <v>2658</v>
      </c>
      <c r="E202" s="1774" t="s">
        <v>2659</v>
      </c>
      <c r="F202" s="1774" t="s">
        <v>2365</v>
      </c>
      <c r="G202" s="1774" t="s">
        <v>28</v>
      </c>
      <c r="H202" s="1774" t="s">
        <v>28</v>
      </c>
      <c r="I202" s="1774" t="s">
        <v>925</v>
      </c>
    </row>
    <row r="203" spans="1:9" ht="11.25" customHeight="1">
      <c r="A203" s="1774" t="s">
        <v>2282</v>
      </c>
      <c r="B203" s="1774" t="s">
        <v>16</v>
      </c>
      <c r="C203" s="1774" t="s">
        <v>2669</v>
      </c>
      <c r="D203" s="1774" t="s">
        <v>2670</v>
      </c>
      <c r="E203" s="1774" t="s">
        <v>2671</v>
      </c>
      <c r="F203" s="1774" t="s">
        <v>2293</v>
      </c>
      <c r="G203" s="1774" t="s">
        <v>28</v>
      </c>
      <c r="H203" s="1774" t="s">
        <v>28</v>
      </c>
      <c r="I203" s="1774" t="s">
        <v>925</v>
      </c>
    </row>
    <row r="204" spans="1:9" ht="11.25" customHeight="1">
      <c r="A204" s="1774" t="s">
        <v>2282</v>
      </c>
      <c r="B204" s="1774" t="s">
        <v>16</v>
      </c>
      <c r="C204" s="1774" t="s">
        <v>2672</v>
      </c>
      <c r="D204" s="1774" t="s">
        <v>2673</v>
      </c>
      <c r="E204" s="1774" t="s">
        <v>2674</v>
      </c>
      <c r="F204" s="1774" t="s">
        <v>2675</v>
      </c>
      <c r="G204" s="1774" t="s">
        <v>28</v>
      </c>
      <c r="H204" s="1774" t="s">
        <v>28</v>
      </c>
      <c r="I204" s="1774" t="s">
        <v>925</v>
      </c>
    </row>
    <row r="205" spans="1:9" ht="11.25" customHeight="1">
      <c r="A205" s="1774" t="s">
        <v>2282</v>
      </c>
      <c r="B205" s="1774" t="s">
        <v>16</v>
      </c>
      <c r="C205" s="1774" t="s">
        <v>2701</v>
      </c>
      <c r="D205" s="1774" t="s">
        <v>2702</v>
      </c>
      <c r="E205" s="1774" t="s">
        <v>2703</v>
      </c>
      <c r="F205" s="1774" t="s">
        <v>2675</v>
      </c>
      <c r="G205" s="1774" t="s">
        <v>28</v>
      </c>
      <c r="H205" s="1774" t="s">
        <v>28</v>
      </c>
      <c r="I205" s="1774" t="s">
        <v>925</v>
      </c>
    </row>
    <row r="206" spans="1:9" ht="11.25" customHeight="1">
      <c r="A206" s="1774" t="s">
        <v>2282</v>
      </c>
      <c r="B206" s="1774" t="s">
        <v>16</v>
      </c>
      <c r="C206" s="1774" t="s">
        <v>2708</v>
      </c>
      <c r="D206" s="1774" t="s">
        <v>2709</v>
      </c>
      <c r="E206" s="1774" t="s">
        <v>2710</v>
      </c>
      <c r="F206" s="1774" t="s">
        <v>2301</v>
      </c>
      <c r="G206" s="1774" t="s">
        <v>28</v>
      </c>
      <c r="H206" s="1774" t="s">
        <v>28</v>
      </c>
      <c r="I206" s="1774" t="s">
        <v>925</v>
      </c>
    </row>
    <row r="207" spans="1:9" ht="11.25" customHeight="1">
      <c r="A207" s="1774" t="s">
        <v>2282</v>
      </c>
      <c r="B207" s="1774" t="s">
        <v>16</v>
      </c>
      <c r="C207" s="1774" t="s">
        <v>2731</v>
      </c>
      <c r="D207" s="1774" t="s">
        <v>2732</v>
      </c>
      <c r="E207" s="1774" t="s">
        <v>2733</v>
      </c>
      <c r="F207" s="1774" t="s">
        <v>2473</v>
      </c>
      <c r="G207" s="1774" t="s">
        <v>28</v>
      </c>
      <c r="H207" s="1774" t="s">
        <v>28</v>
      </c>
      <c r="I207" s="1774" t="s">
        <v>925</v>
      </c>
    </row>
    <row r="208" spans="1:9" ht="11.25" customHeight="1">
      <c r="A208" s="1774" t="s">
        <v>2282</v>
      </c>
      <c r="B208" s="1774" t="s">
        <v>16</v>
      </c>
      <c r="C208" s="1774" t="s">
        <v>2740</v>
      </c>
      <c r="D208" s="1774" t="s">
        <v>2741</v>
      </c>
      <c r="E208" s="1774" t="s">
        <v>2742</v>
      </c>
      <c r="F208" s="1774" t="s">
        <v>2365</v>
      </c>
      <c r="G208" s="1774" t="s">
        <v>28</v>
      </c>
      <c r="H208" s="1774" t="s">
        <v>28</v>
      </c>
      <c r="I208" s="1774" t="s">
        <v>925</v>
      </c>
    </row>
    <row r="209" spans="1:9" ht="11.25" customHeight="1">
      <c r="A209" s="1774" t="s">
        <v>2282</v>
      </c>
      <c r="B209" s="1774" t="s">
        <v>16</v>
      </c>
      <c r="C209" s="1774" t="s">
        <v>2774</v>
      </c>
      <c r="D209" s="1774" t="s">
        <v>2775</v>
      </c>
      <c r="E209" s="1774" t="s">
        <v>2776</v>
      </c>
      <c r="F209" s="1774" t="s">
        <v>2297</v>
      </c>
      <c r="G209" s="1774" t="s">
        <v>28</v>
      </c>
      <c r="H209" s="1774" t="s">
        <v>28</v>
      </c>
      <c r="I209" s="1774" t="s">
        <v>925</v>
      </c>
    </row>
    <row r="210" spans="1:9" ht="11.25" customHeight="1">
      <c r="A210" s="1774" t="s">
        <v>2282</v>
      </c>
      <c r="B210" s="1774" t="s">
        <v>16</v>
      </c>
      <c r="C210" s="1774" t="s">
        <v>2781</v>
      </c>
      <c r="D210" s="1774" t="s">
        <v>2782</v>
      </c>
      <c r="E210" s="1774" t="s">
        <v>2783</v>
      </c>
      <c r="F210" s="1774" t="s">
        <v>55</v>
      </c>
      <c r="G210" s="1774" t="s">
        <v>28</v>
      </c>
      <c r="H210" s="1774" t="s">
        <v>28</v>
      </c>
      <c r="I210" s="1774" t="s">
        <v>925</v>
      </c>
    </row>
    <row r="211" spans="1:9" ht="11.25" customHeight="1">
      <c r="A211" s="1774" t="s">
        <v>2282</v>
      </c>
      <c r="B211" s="1774" t="s">
        <v>16</v>
      </c>
      <c r="C211" s="1774" t="s">
        <v>2784</v>
      </c>
      <c r="D211" s="1774" t="s">
        <v>2785</v>
      </c>
      <c r="E211" s="1774" t="s">
        <v>2786</v>
      </c>
      <c r="F211" s="1774" t="s">
        <v>2675</v>
      </c>
      <c r="G211" s="1774" t="s">
        <v>28</v>
      </c>
      <c r="H211" s="1774" t="s">
        <v>28</v>
      </c>
      <c r="I211" s="1774" t="s">
        <v>925</v>
      </c>
    </row>
    <row r="212" spans="1:9" ht="11.25" customHeight="1">
      <c r="A212" s="1774" t="s">
        <v>2282</v>
      </c>
      <c r="B212" s="1774" t="s">
        <v>16</v>
      </c>
      <c r="C212" s="1774" t="s">
        <v>2800</v>
      </c>
      <c r="D212" s="1774" t="s">
        <v>2801</v>
      </c>
      <c r="E212" s="1774" t="s">
        <v>2802</v>
      </c>
      <c r="F212" s="1774" t="s">
        <v>2424</v>
      </c>
      <c r="G212" s="1774" t="s">
        <v>28</v>
      </c>
      <c r="H212" s="1774" t="s">
        <v>28</v>
      </c>
      <c r="I212" s="1774" t="s">
        <v>925</v>
      </c>
    </row>
    <row r="213" spans="1:9" ht="11.25" customHeight="1">
      <c r="A213" s="1774" t="s">
        <v>2282</v>
      </c>
      <c r="B213" s="1774" t="s">
        <v>16</v>
      </c>
      <c r="C213" s="1774" t="s">
        <v>13</v>
      </c>
      <c r="D213" s="1774" t="s">
        <v>50</v>
      </c>
      <c r="E213" s="1774" t="s">
        <v>53</v>
      </c>
      <c r="F213" s="1774" t="s">
        <v>55</v>
      </c>
      <c r="G213" s="1774" t="s">
        <v>28</v>
      </c>
      <c r="H213" s="1774" t="s">
        <v>28</v>
      </c>
      <c r="I213" s="1774" t="s">
        <v>925</v>
      </c>
    </row>
    <row r="214" spans="1:9" ht="11.25" customHeight="1">
      <c r="A214" s="1774" t="s">
        <v>2282</v>
      </c>
      <c r="B214" s="1774" t="s">
        <v>16</v>
      </c>
      <c r="C214" s="1774" t="s">
        <v>2809</v>
      </c>
      <c r="D214" s="1774" t="s">
        <v>2810</v>
      </c>
      <c r="E214" s="1774" t="s">
        <v>2811</v>
      </c>
      <c r="F214" s="1774" t="s">
        <v>2286</v>
      </c>
      <c r="G214" s="1774" t="s">
        <v>28</v>
      </c>
      <c r="H214" s="1774" t="s">
        <v>28</v>
      </c>
      <c r="I214" s="1774" t="s">
        <v>925</v>
      </c>
    </row>
    <row r="215" spans="1:9" ht="11.25" customHeight="1">
      <c r="A215" s="1774" t="s">
        <v>2282</v>
      </c>
      <c r="B215" s="1774" t="s">
        <v>16</v>
      </c>
      <c r="C215" s="1774" t="s">
        <v>2812</v>
      </c>
      <c r="D215" s="1774" t="s">
        <v>2813</v>
      </c>
      <c r="E215" s="1774" t="s">
        <v>2814</v>
      </c>
      <c r="F215" s="1774" t="s">
        <v>2478</v>
      </c>
      <c r="G215" s="1774" t="s">
        <v>28</v>
      </c>
      <c r="H215" s="1774" t="s">
        <v>28</v>
      </c>
      <c r="I215" s="1774" t="s">
        <v>925</v>
      </c>
    </row>
    <row r="216" spans="1:9" ht="11.25" customHeight="1">
      <c r="A216" s="1774" t="s">
        <v>2282</v>
      </c>
      <c r="B216" s="1774" t="s">
        <v>16</v>
      </c>
      <c r="C216" s="1774" t="s">
        <v>2824</v>
      </c>
      <c r="D216" s="1774" t="s">
        <v>2825</v>
      </c>
      <c r="E216" s="1774" t="s">
        <v>2826</v>
      </c>
      <c r="F216" s="1774" t="s">
        <v>2346</v>
      </c>
      <c r="G216" s="1774" t="s">
        <v>28</v>
      </c>
      <c r="H216" s="1774" t="s">
        <v>28</v>
      </c>
      <c r="I216" s="1774" t="s">
        <v>925</v>
      </c>
    </row>
    <row r="217" spans="1:9" ht="11.25" customHeight="1">
      <c r="A217" s="1774" t="s">
        <v>2282</v>
      </c>
      <c r="B217" s="1774" t="s">
        <v>16</v>
      </c>
      <c r="C217" s="1774" t="s">
        <v>2833</v>
      </c>
      <c r="D217" s="1774" t="s">
        <v>2834</v>
      </c>
      <c r="E217" s="1774" t="s">
        <v>2835</v>
      </c>
      <c r="F217" s="1774" t="s">
        <v>2589</v>
      </c>
      <c r="G217" s="1774" t="s">
        <v>28</v>
      </c>
      <c r="H217" s="1774" t="s">
        <v>28</v>
      </c>
      <c r="I217" s="1774" t="s">
        <v>925</v>
      </c>
    </row>
    <row r="218" spans="1:9" ht="11.25" customHeight="1">
      <c r="A218" s="1774" t="s">
        <v>2282</v>
      </c>
      <c r="B218" s="1774" t="s">
        <v>16</v>
      </c>
      <c r="C218" s="1774" t="s">
        <v>2839</v>
      </c>
      <c r="D218" s="1774" t="s">
        <v>2840</v>
      </c>
      <c r="E218" s="1774" t="s">
        <v>2841</v>
      </c>
      <c r="F218" s="1774" t="s">
        <v>2842</v>
      </c>
      <c r="G218" s="1774" t="s">
        <v>28</v>
      </c>
      <c r="H218" s="1774" t="s">
        <v>28</v>
      </c>
      <c r="I218" s="1774" t="s">
        <v>925</v>
      </c>
    </row>
    <row r="219" spans="1:9" ht="11.25" customHeight="1">
      <c r="A219" s="1774" t="s">
        <v>2282</v>
      </c>
      <c r="B219" s="1774" t="s">
        <v>16</v>
      </c>
      <c r="C219" s="1774" t="s">
        <v>2853</v>
      </c>
      <c r="D219" s="1774" t="s">
        <v>2854</v>
      </c>
      <c r="E219" s="1774" t="s">
        <v>2841</v>
      </c>
      <c r="F219" s="1774" t="s">
        <v>2498</v>
      </c>
      <c r="G219" s="1774" t="s">
        <v>2855</v>
      </c>
      <c r="H219" s="1774" t="s">
        <v>28</v>
      </c>
      <c r="I219" s="1774" t="s">
        <v>925</v>
      </c>
    </row>
    <row r="220" spans="1:9" ht="11.25" customHeight="1">
      <c r="A220" s="1774" t="s">
        <v>2282</v>
      </c>
      <c r="B220" s="1774" t="s">
        <v>16</v>
      </c>
      <c r="C220" s="1774" t="s">
        <v>2856</v>
      </c>
      <c r="D220" s="1774" t="s">
        <v>2857</v>
      </c>
      <c r="E220" s="1774" t="s">
        <v>2841</v>
      </c>
      <c r="F220" s="1774" t="s">
        <v>2858</v>
      </c>
      <c r="G220" s="1774" t="s">
        <v>28</v>
      </c>
      <c r="H220" s="1774" t="s">
        <v>28</v>
      </c>
      <c r="I220" s="1774" t="s">
        <v>925</v>
      </c>
    </row>
    <row r="221" spans="1:9" ht="11.25" customHeight="1">
      <c r="A221" s="1774" t="s">
        <v>2282</v>
      </c>
      <c r="B221" s="1774" t="s">
        <v>16</v>
      </c>
      <c r="C221" s="1774" t="s">
        <v>2283</v>
      </c>
      <c r="D221" s="1774" t="s">
        <v>2284</v>
      </c>
      <c r="E221" s="1774" t="s">
        <v>2285</v>
      </c>
      <c r="F221" s="1774" t="s">
        <v>2286</v>
      </c>
      <c r="G221" s="1774" t="s">
        <v>28</v>
      </c>
      <c r="H221" s="1774" t="s">
        <v>28</v>
      </c>
      <c r="I221" s="1774" t="s">
        <v>885</v>
      </c>
    </row>
    <row r="222" spans="1:9" ht="11.25" customHeight="1">
      <c r="A222" s="1774" t="s">
        <v>2282</v>
      </c>
      <c r="B222" s="1774" t="s">
        <v>16</v>
      </c>
      <c r="C222" s="1774" t="s">
        <v>2290</v>
      </c>
      <c r="D222" s="1774" t="s">
        <v>2291</v>
      </c>
      <c r="E222" s="1774" t="s">
        <v>2292</v>
      </c>
      <c r="F222" s="1774" t="s">
        <v>2293</v>
      </c>
      <c r="G222" s="1774" t="s">
        <v>28</v>
      </c>
      <c r="H222" s="1774" t="s">
        <v>28</v>
      </c>
      <c r="I222" s="1774" t="s">
        <v>885</v>
      </c>
    </row>
    <row r="223" spans="1:9" ht="11.25" customHeight="1">
      <c r="A223" s="1774" t="s">
        <v>2282</v>
      </c>
      <c r="B223" s="1774" t="s">
        <v>16</v>
      </c>
      <c r="C223" s="1774" t="s">
        <v>2306</v>
      </c>
      <c r="D223" s="1774" t="s">
        <v>2307</v>
      </c>
      <c r="E223" s="1774" t="s">
        <v>2308</v>
      </c>
      <c r="F223" s="1774" t="s">
        <v>2309</v>
      </c>
      <c r="G223" s="1774" t="s">
        <v>28</v>
      </c>
      <c r="H223" s="1774" t="s">
        <v>28</v>
      </c>
      <c r="I223" s="1774" t="s">
        <v>885</v>
      </c>
    </row>
    <row r="224" spans="1:9" ht="11.25" customHeight="1">
      <c r="A224" s="1774" t="s">
        <v>2282</v>
      </c>
      <c r="B224" s="1774" t="s">
        <v>16</v>
      </c>
      <c r="C224" s="1774" t="s">
        <v>2859</v>
      </c>
      <c r="D224" s="1774" t="s">
        <v>2860</v>
      </c>
      <c r="E224" s="1774" t="s">
        <v>2861</v>
      </c>
      <c r="F224" s="1774" t="s">
        <v>2313</v>
      </c>
      <c r="G224" s="1774" t="s">
        <v>28</v>
      </c>
      <c r="H224" s="1774" t="s">
        <v>28</v>
      </c>
      <c r="I224" s="1774" t="s">
        <v>885</v>
      </c>
    </row>
    <row r="225" spans="1:9" ht="11.25" customHeight="1">
      <c r="A225" s="1774" t="s">
        <v>2282</v>
      </c>
      <c r="B225" s="1774" t="s">
        <v>16</v>
      </c>
      <c r="C225" s="1774" t="s">
        <v>2314</v>
      </c>
      <c r="D225" s="1774" t="s">
        <v>2315</v>
      </c>
      <c r="E225" s="1774" t="s">
        <v>2316</v>
      </c>
      <c r="F225" s="1774" t="s">
        <v>2317</v>
      </c>
      <c r="G225" s="1774" t="s">
        <v>2318</v>
      </c>
      <c r="H225" s="1774" t="s">
        <v>28</v>
      </c>
      <c r="I225" s="1774" t="s">
        <v>885</v>
      </c>
    </row>
    <row r="226" spans="1:9" ht="11.25" customHeight="1">
      <c r="A226" s="1774" t="s">
        <v>2282</v>
      </c>
      <c r="B226" s="1774" t="s">
        <v>16</v>
      </c>
      <c r="C226" s="1774" t="s">
        <v>2319</v>
      </c>
      <c r="D226" s="1774" t="s">
        <v>2315</v>
      </c>
      <c r="E226" s="1774" t="s">
        <v>2316</v>
      </c>
      <c r="F226" s="1774" t="s">
        <v>2320</v>
      </c>
      <c r="G226" s="1774" t="s">
        <v>28</v>
      </c>
      <c r="H226" s="1774" t="s">
        <v>28</v>
      </c>
      <c r="I226" s="1774" t="s">
        <v>885</v>
      </c>
    </row>
    <row r="227" spans="1:9" ht="11.25" customHeight="1">
      <c r="A227" s="1774" t="s">
        <v>2282</v>
      </c>
      <c r="B227" s="1774" t="s">
        <v>16</v>
      </c>
      <c r="C227" s="1774" t="s">
        <v>2340</v>
      </c>
      <c r="D227" s="1774" t="s">
        <v>2341</v>
      </c>
      <c r="E227" s="1774" t="s">
        <v>2342</v>
      </c>
      <c r="F227" s="1774" t="s">
        <v>2286</v>
      </c>
      <c r="G227" s="1774" t="s">
        <v>28</v>
      </c>
      <c r="H227" s="1774" t="s">
        <v>28</v>
      </c>
      <c r="I227" s="1774" t="s">
        <v>885</v>
      </c>
    </row>
    <row r="228" spans="1:9" ht="11.25" customHeight="1">
      <c r="A228" s="1774" t="s">
        <v>2282</v>
      </c>
      <c r="B228" s="1774" t="s">
        <v>16</v>
      </c>
      <c r="C228" s="1774" t="s">
        <v>2355</v>
      </c>
      <c r="D228" s="1774" t="s">
        <v>2356</v>
      </c>
      <c r="E228" s="1774" t="s">
        <v>2357</v>
      </c>
      <c r="F228" s="1774" t="s">
        <v>2354</v>
      </c>
      <c r="G228" s="1774" t="s">
        <v>28</v>
      </c>
      <c r="H228" s="1774" t="s">
        <v>28</v>
      </c>
      <c r="I228" s="1774" t="s">
        <v>885</v>
      </c>
    </row>
    <row r="229" spans="1:9" ht="11.25" customHeight="1">
      <c r="A229" s="1774" t="s">
        <v>2282</v>
      </c>
      <c r="B229" s="1774" t="s">
        <v>16</v>
      </c>
      <c r="C229" s="1774" t="s">
        <v>2366</v>
      </c>
      <c r="D229" s="1774" t="s">
        <v>2367</v>
      </c>
      <c r="E229" s="1774" t="s">
        <v>2368</v>
      </c>
      <c r="F229" s="1774" t="s">
        <v>2286</v>
      </c>
      <c r="G229" s="1774" t="s">
        <v>28</v>
      </c>
      <c r="H229" s="1774" t="s">
        <v>28</v>
      </c>
      <c r="I229" s="1774" t="s">
        <v>885</v>
      </c>
    </row>
    <row r="230" spans="1:9" ht="11.25" customHeight="1">
      <c r="A230" s="1774" t="s">
        <v>2282</v>
      </c>
      <c r="B230" s="1774" t="s">
        <v>16</v>
      </c>
      <c r="C230" s="1774" t="s">
        <v>2384</v>
      </c>
      <c r="D230" s="1774" t="s">
        <v>2385</v>
      </c>
      <c r="E230" s="1774" t="s">
        <v>2386</v>
      </c>
      <c r="F230" s="1774" t="s">
        <v>2387</v>
      </c>
      <c r="G230" s="1774" t="s">
        <v>28</v>
      </c>
      <c r="H230" s="1774" t="s">
        <v>28</v>
      </c>
      <c r="I230" s="1774" t="s">
        <v>885</v>
      </c>
    </row>
    <row r="231" spans="1:9" ht="11.25" customHeight="1">
      <c r="A231" s="1774" t="s">
        <v>2282</v>
      </c>
      <c r="B231" s="1774" t="s">
        <v>16</v>
      </c>
      <c r="C231" s="1774" t="s">
        <v>2408</v>
      </c>
      <c r="D231" s="1774" t="s">
        <v>2409</v>
      </c>
      <c r="E231" s="1774" t="s">
        <v>2410</v>
      </c>
      <c r="F231" s="1774" t="s">
        <v>2286</v>
      </c>
      <c r="G231" s="1774" t="s">
        <v>2411</v>
      </c>
      <c r="H231" s="1774" t="s">
        <v>28</v>
      </c>
      <c r="I231" s="1774" t="s">
        <v>885</v>
      </c>
    </row>
    <row r="232" spans="1:9" ht="11.25" customHeight="1">
      <c r="A232" s="1774" t="s">
        <v>2282</v>
      </c>
      <c r="B232" s="1774" t="s">
        <v>16</v>
      </c>
      <c r="C232" s="1774" t="s">
        <v>2431</v>
      </c>
      <c r="D232" s="1774" t="s">
        <v>2432</v>
      </c>
      <c r="E232" s="1774" t="s">
        <v>2316</v>
      </c>
      <c r="F232" s="1774" t="s">
        <v>2433</v>
      </c>
      <c r="G232" s="1774" t="s">
        <v>2434</v>
      </c>
      <c r="H232" s="1774" t="s">
        <v>28</v>
      </c>
      <c r="I232" s="1774" t="s">
        <v>885</v>
      </c>
    </row>
    <row r="233" spans="1:9" ht="11.25" customHeight="1">
      <c r="A233" s="1774" t="s">
        <v>2282</v>
      </c>
      <c r="B233" s="1774" t="s">
        <v>16</v>
      </c>
      <c r="C233" s="1774" t="s">
        <v>2442</v>
      </c>
      <c r="D233" s="1774" t="s">
        <v>2443</v>
      </c>
      <c r="E233" s="1774" t="s">
        <v>2444</v>
      </c>
      <c r="F233" s="1774" t="s">
        <v>2445</v>
      </c>
      <c r="G233" s="1774" t="s">
        <v>28</v>
      </c>
      <c r="H233" s="1774" t="s">
        <v>28</v>
      </c>
      <c r="I233" s="1774" t="s">
        <v>885</v>
      </c>
    </row>
    <row r="234" spans="1:9" ht="11.25" customHeight="1">
      <c r="A234" s="1774" t="s">
        <v>2282</v>
      </c>
      <c r="B234" s="1774" t="s">
        <v>16</v>
      </c>
      <c r="C234" s="1774" t="s">
        <v>2862</v>
      </c>
      <c r="D234" s="1774" t="s">
        <v>2863</v>
      </c>
      <c r="E234" s="1774" t="s">
        <v>2864</v>
      </c>
      <c r="F234" s="1774" t="s">
        <v>2286</v>
      </c>
      <c r="G234" s="1774" t="s">
        <v>28</v>
      </c>
      <c r="H234" s="1774" t="s">
        <v>28</v>
      </c>
      <c r="I234" s="1774" t="s">
        <v>885</v>
      </c>
    </row>
    <row r="235" spans="1:9" ht="11.25" customHeight="1">
      <c r="A235" s="1774" t="s">
        <v>2282</v>
      </c>
      <c r="B235" s="1774" t="s">
        <v>16</v>
      </c>
      <c r="C235" s="1774" t="s">
        <v>2461</v>
      </c>
      <c r="D235" s="1774" t="s">
        <v>2462</v>
      </c>
      <c r="E235" s="1774" t="s">
        <v>2463</v>
      </c>
      <c r="F235" s="1774" t="s">
        <v>2350</v>
      </c>
      <c r="G235" s="1774" t="s">
        <v>28</v>
      </c>
      <c r="H235" s="1774" t="s">
        <v>28</v>
      </c>
      <c r="I235" s="1774" t="s">
        <v>885</v>
      </c>
    </row>
    <row r="236" spans="1:9" ht="11.25" customHeight="1">
      <c r="A236" s="1774" t="s">
        <v>2282</v>
      </c>
      <c r="B236" s="1774" t="s">
        <v>16</v>
      </c>
      <c r="C236" s="1774" t="s">
        <v>28</v>
      </c>
      <c r="D236" s="1774" t="s">
        <v>2493</v>
      </c>
      <c r="E236" s="1774" t="s">
        <v>2494</v>
      </c>
      <c r="F236" s="1774" t="s">
        <v>2365</v>
      </c>
      <c r="G236" s="1774" t="s">
        <v>28</v>
      </c>
      <c r="H236" s="1774" t="s">
        <v>28</v>
      </c>
      <c r="I236" s="1774" t="s">
        <v>885</v>
      </c>
    </row>
    <row r="237" spans="1:9" ht="11.25" customHeight="1">
      <c r="A237" s="1774" t="s">
        <v>2282</v>
      </c>
      <c r="B237" s="1774" t="s">
        <v>16</v>
      </c>
      <c r="C237" s="1774" t="s">
        <v>2499</v>
      </c>
      <c r="D237" s="1774" t="s">
        <v>2500</v>
      </c>
      <c r="E237" s="1774" t="s">
        <v>2501</v>
      </c>
      <c r="F237" s="1774" t="s">
        <v>2502</v>
      </c>
      <c r="G237" s="1774" t="s">
        <v>28</v>
      </c>
      <c r="H237" s="1774" t="s">
        <v>28</v>
      </c>
      <c r="I237" s="1774" t="s">
        <v>885</v>
      </c>
    </row>
    <row r="238" spans="1:9" ht="11.25" customHeight="1">
      <c r="A238" s="1774" t="s">
        <v>2282</v>
      </c>
      <c r="B238" s="1774" t="s">
        <v>16</v>
      </c>
      <c r="C238" s="1774" t="s">
        <v>2506</v>
      </c>
      <c r="D238" s="1774" t="s">
        <v>2507</v>
      </c>
      <c r="E238" s="1774" t="s">
        <v>2508</v>
      </c>
      <c r="F238" s="1774" t="s">
        <v>2309</v>
      </c>
      <c r="G238" s="1774" t="s">
        <v>28</v>
      </c>
      <c r="H238" s="1774" t="s">
        <v>2509</v>
      </c>
      <c r="I238" s="1774" t="s">
        <v>885</v>
      </c>
    </row>
    <row r="239" spans="1:9" ht="11.25" customHeight="1">
      <c r="A239" s="1774" t="s">
        <v>2282</v>
      </c>
      <c r="B239" s="1774" t="s">
        <v>16</v>
      </c>
      <c r="C239" s="1774" t="s">
        <v>2559</v>
      </c>
      <c r="D239" s="1774" t="s">
        <v>2560</v>
      </c>
      <c r="E239" s="1774" t="s">
        <v>2561</v>
      </c>
      <c r="F239" s="1774" t="s">
        <v>2562</v>
      </c>
      <c r="G239" s="1774" t="s">
        <v>2563</v>
      </c>
      <c r="H239" s="1774" t="s">
        <v>28</v>
      </c>
      <c r="I239" s="1774" t="s">
        <v>885</v>
      </c>
    </row>
    <row r="240" spans="1:9" ht="11.25" customHeight="1">
      <c r="A240" s="1774" t="s">
        <v>2282</v>
      </c>
      <c r="B240" s="1774" t="s">
        <v>16</v>
      </c>
      <c r="C240" s="1774" t="s">
        <v>2865</v>
      </c>
      <c r="D240" s="1774" t="s">
        <v>2866</v>
      </c>
      <c r="E240" s="1774" t="s">
        <v>2561</v>
      </c>
      <c r="F240" s="1774" t="s">
        <v>2867</v>
      </c>
      <c r="G240" s="1774" t="s">
        <v>2868</v>
      </c>
      <c r="H240" s="1774" t="s">
        <v>28</v>
      </c>
      <c r="I240" s="1774" t="s">
        <v>885</v>
      </c>
    </row>
    <row r="241" spans="1:9" ht="11.25" customHeight="1">
      <c r="A241" s="1774" t="s">
        <v>2282</v>
      </c>
      <c r="B241" s="1774" t="s">
        <v>16</v>
      </c>
      <c r="C241" s="1774" t="s">
        <v>2869</v>
      </c>
      <c r="D241" s="1774" t="s">
        <v>2870</v>
      </c>
      <c r="E241" s="1774" t="s">
        <v>2871</v>
      </c>
      <c r="F241" s="1774" t="s">
        <v>2478</v>
      </c>
      <c r="G241" s="1774" t="s">
        <v>28</v>
      </c>
      <c r="H241" s="1774" t="s">
        <v>28</v>
      </c>
      <c r="I241" s="1774" t="s">
        <v>885</v>
      </c>
    </row>
    <row r="242" spans="1:9" ht="11.25" customHeight="1">
      <c r="A242" s="1774" t="s">
        <v>2282</v>
      </c>
      <c r="B242" s="1774" t="s">
        <v>16</v>
      </c>
      <c r="C242" s="1774" t="s">
        <v>2602</v>
      </c>
      <c r="D242" s="1774" t="s">
        <v>2603</v>
      </c>
      <c r="E242" s="1774" t="s">
        <v>2604</v>
      </c>
      <c r="F242" s="1774" t="s">
        <v>2605</v>
      </c>
      <c r="G242" s="1774" t="s">
        <v>28</v>
      </c>
      <c r="H242" s="1774" t="s">
        <v>28</v>
      </c>
      <c r="I242" s="1774" t="s">
        <v>885</v>
      </c>
    </row>
    <row r="243" spans="1:9" ht="11.25" customHeight="1">
      <c r="A243" s="1774" t="s">
        <v>2282</v>
      </c>
      <c r="B243" s="1774" t="s">
        <v>16</v>
      </c>
      <c r="C243" s="1774" t="s">
        <v>2872</v>
      </c>
      <c r="D243" s="1774" t="s">
        <v>2873</v>
      </c>
      <c r="E243" s="1774" t="s">
        <v>2874</v>
      </c>
      <c r="F243" s="1774" t="s">
        <v>2482</v>
      </c>
      <c r="G243" s="1774" t="s">
        <v>28</v>
      </c>
      <c r="H243" s="1774" t="s">
        <v>28</v>
      </c>
      <c r="I243" s="1774" t="s">
        <v>885</v>
      </c>
    </row>
    <row r="244" spans="1:9" ht="11.25" customHeight="1">
      <c r="A244" s="1774" t="s">
        <v>2282</v>
      </c>
      <c r="B244" s="1774" t="s">
        <v>16</v>
      </c>
      <c r="C244" s="1774" t="s">
        <v>2875</v>
      </c>
      <c r="D244" s="1774" t="s">
        <v>2876</v>
      </c>
      <c r="E244" s="1774" t="s">
        <v>2877</v>
      </c>
      <c r="F244" s="1774" t="s">
        <v>2313</v>
      </c>
      <c r="G244" s="1774" t="s">
        <v>28</v>
      </c>
      <c r="H244" s="1774" t="s">
        <v>28</v>
      </c>
      <c r="I244" s="1774" t="s">
        <v>885</v>
      </c>
    </row>
    <row r="245" spans="1:9" ht="11.25" customHeight="1">
      <c r="A245" s="1774" t="s">
        <v>2282</v>
      </c>
      <c r="B245" s="1774" t="s">
        <v>16</v>
      </c>
      <c r="C245" s="1774" t="s">
        <v>2878</v>
      </c>
      <c r="D245" s="1774" t="s">
        <v>2879</v>
      </c>
      <c r="E245" s="1774" t="s">
        <v>2880</v>
      </c>
      <c r="F245" s="1774" t="s">
        <v>2313</v>
      </c>
      <c r="G245" s="1774" t="s">
        <v>28</v>
      </c>
      <c r="H245" s="1774" t="s">
        <v>28</v>
      </c>
      <c r="I245" s="1774" t="s">
        <v>885</v>
      </c>
    </row>
    <row r="246" spans="1:9" ht="11.25" customHeight="1">
      <c r="A246" s="1774" t="s">
        <v>2282</v>
      </c>
      <c r="B246" s="1774" t="s">
        <v>16</v>
      </c>
      <c r="C246" s="1774" t="s">
        <v>2881</v>
      </c>
      <c r="D246" s="1774" t="s">
        <v>2882</v>
      </c>
      <c r="E246" s="1774" t="s">
        <v>2883</v>
      </c>
      <c r="F246" s="1774" t="s">
        <v>2382</v>
      </c>
      <c r="G246" s="1774" t="s">
        <v>28</v>
      </c>
      <c r="H246" s="1774" t="s">
        <v>28</v>
      </c>
      <c r="I246" s="1774" t="s">
        <v>885</v>
      </c>
    </row>
    <row r="247" spans="1:9" ht="11.25" customHeight="1">
      <c r="A247" s="1774" t="s">
        <v>2282</v>
      </c>
      <c r="B247" s="1774" t="s">
        <v>16</v>
      </c>
      <c r="C247" s="1774" t="s">
        <v>2768</v>
      </c>
      <c r="D247" s="1774" t="s">
        <v>2769</v>
      </c>
      <c r="E247" s="1774" t="s">
        <v>2770</v>
      </c>
      <c r="F247" s="1774" t="s">
        <v>2382</v>
      </c>
      <c r="G247" s="1774" t="s">
        <v>28</v>
      </c>
      <c r="H247" s="1774" t="s">
        <v>28</v>
      </c>
      <c r="I247" s="1774" t="s">
        <v>885</v>
      </c>
    </row>
    <row r="248" spans="1:9" ht="11.25" customHeight="1">
      <c r="A248" s="1774" t="s">
        <v>2282</v>
      </c>
      <c r="B248" s="1774" t="s">
        <v>16</v>
      </c>
      <c r="C248" s="1774" t="s">
        <v>2800</v>
      </c>
      <c r="D248" s="1774" t="s">
        <v>2801</v>
      </c>
      <c r="E248" s="1774" t="s">
        <v>2802</v>
      </c>
      <c r="F248" s="1774" t="s">
        <v>2424</v>
      </c>
      <c r="G248" s="1774" t="s">
        <v>28</v>
      </c>
      <c r="H248" s="1774" t="s">
        <v>28</v>
      </c>
      <c r="I248" s="1774" t="s">
        <v>885</v>
      </c>
    </row>
    <row r="249" spans="1:9" ht="11.25" customHeight="1">
      <c r="A249" s="1774" t="s">
        <v>2282</v>
      </c>
      <c r="B249" s="1774" t="s">
        <v>16</v>
      </c>
      <c r="C249" s="1774" t="s">
        <v>13</v>
      </c>
      <c r="D249" s="1774" t="s">
        <v>50</v>
      </c>
      <c r="E249" s="1774" t="s">
        <v>53</v>
      </c>
      <c r="F249" s="1774" t="s">
        <v>55</v>
      </c>
      <c r="G249" s="1774" t="s">
        <v>28</v>
      </c>
      <c r="H249" s="1774" t="s">
        <v>28</v>
      </c>
      <c r="I249" s="1774" t="s">
        <v>885</v>
      </c>
    </row>
    <row r="250" spans="1:9" ht="11.25" customHeight="1">
      <c r="A250" s="1774" t="s">
        <v>2282</v>
      </c>
      <c r="B250" s="1774" t="s">
        <v>16</v>
      </c>
      <c r="C250" s="1774" t="s">
        <v>2809</v>
      </c>
      <c r="D250" s="1774" t="s">
        <v>2810</v>
      </c>
      <c r="E250" s="1774" t="s">
        <v>2811</v>
      </c>
      <c r="F250" s="1774" t="s">
        <v>2286</v>
      </c>
      <c r="G250" s="1774" t="s">
        <v>28</v>
      </c>
      <c r="H250" s="1774" t="s">
        <v>28</v>
      </c>
      <c r="I250" s="1774" t="s">
        <v>885</v>
      </c>
    </row>
    <row r="251" spans="1:9" ht="11.25" customHeight="1">
      <c r="A251" s="1774" t="s">
        <v>2282</v>
      </c>
      <c r="B251" s="1774" t="s">
        <v>16</v>
      </c>
      <c r="C251" s="1774" t="s">
        <v>2884</v>
      </c>
      <c r="D251" s="1774" t="s">
        <v>2885</v>
      </c>
      <c r="E251" s="1774" t="s">
        <v>2886</v>
      </c>
      <c r="F251" s="1774" t="s">
        <v>2350</v>
      </c>
      <c r="G251" s="1774" t="s">
        <v>28</v>
      </c>
      <c r="H251" s="1774" t="s">
        <v>28</v>
      </c>
      <c r="I251" s="1774" t="s">
        <v>885</v>
      </c>
    </row>
    <row r="252" spans="1:9" ht="11.25" customHeight="1">
      <c r="A252" s="1774" t="s">
        <v>2282</v>
      </c>
      <c r="B252" s="1774" t="s">
        <v>16</v>
      </c>
      <c r="C252" s="1774" t="s">
        <v>2818</v>
      </c>
      <c r="D252" s="1774" t="s">
        <v>2819</v>
      </c>
      <c r="E252" s="1774" t="s">
        <v>2820</v>
      </c>
      <c r="F252" s="1774" t="s">
        <v>2354</v>
      </c>
      <c r="G252" s="1774" t="s">
        <v>28</v>
      </c>
      <c r="H252" s="1774" t="s">
        <v>28</v>
      </c>
      <c r="I252" s="1774" t="s">
        <v>885</v>
      </c>
    </row>
    <row r="253" spans="1:9" ht="11.25" customHeight="1">
      <c r="A253" s="1774" t="s">
        <v>2282</v>
      </c>
      <c r="B253" s="1774" t="s">
        <v>16</v>
      </c>
      <c r="C253" s="1774" t="s">
        <v>2887</v>
      </c>
      <c r="D253" s="1774" t="s">
        <v>2888</v>
      </c>
      <c r="E253" s="1774" t="s">
        <v>2889</v>
      </c>
      <c r="F253" s="1774" t="s">
        <v>2890</v>
      </c>
      <c r="G253" s="1774" t="s">
        <v>28</v>
      </c>
      <c r="H253" s="1774" t="s">
        <v>28</v>
      </c>
      <c r="I253" s="1774" t="s">
        <v>885</v>
      </c>
    </row>
    <row r="254" spans="1:9" ht="11.25" customHeight="1">
      <c r="A254" s="1774" t="s">
        <v>2282</v>
      </c>
      <c r="B254" s="1774" t="s">
        <v>16</v>
      </c>
      <c r="C254" s="1774" t="s">
        <v>2853</v>
      </c>
      <c r="D254" s="1774" t="s">
        <v>2854</v>
      </c>
      <c r="E254" s="1774" t="s">
        <v>2841</v>
      </c>
      <c r="F254" s="1774" t="s">
        <v>2498</v>
      </c>
      <c r="G254" s="1774" t="s">
        <v>2855</v>
      </c>
      <c r="H254" s="1774" t="s">
        <v>28</v>
      </c>
      <c r="I254" s="1774" t="s">
        <v>885</v>
      </c>
    </row>
    <row r="255" spans="1:9" ht="11.25" customHeight="1">
      <c r="A255" s="1774" t="s">
        <v>2282</v>
      </c>
      <c r="B255" s="1774" t="s">
        <v>16</v>
      </c>
      <c r="C255" s="1774" t="s">
        <v>2856</v>
      </c>
      <c r="D255" s="1774" t="s">
        <v>2857</v>
      </c>
      <c r="E255" s="1774" t="s">
        <v>2841</v>
      </c>
      <c r="F255" s="1774" t="s">
        <v>2858</v>
      </c>
      <c r="G255" s="1774" t="s">
        <v>28</v>
      </c>
      <c r="H255" s="1774" t="s">
        <v>28</v>
      </c>
      <c r="I255" s="1774" t="s">
        <v>885</v>
      </c>
    </row>
    <row r="256" spans="1:9" ht="11.25" customHeight="1">
      <c r="A256" s="1774" t="s">
        <v>2282</v>
      </c>
      <c r="B256" s="1774" t="s">
        <v>16</v>
      </c>
      <c r="C256" s="1774" t="s">
        <v>2283</v>
      </c>
      <c r="D256" s="1774" t="s">
        <v>2284</v>
      </c>
      <c r="E256" s="1774" t="s">
        <v>2285</v>
      </c>
      <c r="F256" s="1774" t="s">
        <v>2286</v>
      </c>
      <c r="G256" s="1774" t="s">
        <v>28</v>
      </c>
      <c r="H256" s="1774" t="s">
        <v>28</v>
      </c>
      <c r="I256" s="1774" t="s">
        <v>938</v>
      </c>
    </row>
    <row r="257" spans="1:9" ht="11.25" customHeight="1">
      <c r="A257" s="1774" t="s">
        <v>2282</v>
      </c>
      <c r="B257" s="1774" t="s">
        <v>16</v>
      </c>
      <c r="C257" s="1774" t="s">
        <v>2290</v>
      </c>
      <c r="D257" s="1774" t="s">
        <v>2291</v>
      </c>
      <c r="E257" s="1774" t="s">
        <v>2292</v>
      </c>
      <c r="F257" s="1774" t="s">
        <v>2293</v>
      </c>
      <c r="G257" s="1774" t="s">
        <v>28</v>
      </c>
      <c r="H257" s="1774" t="s">
        <v>28</v>
      </c>
      <c r="I257" s="1774" t="s">
        <v>938</v>
      </c>
    </row>
    <row r="258" spans="1:9" ht="11.25" customHeight="1">
      <c r="A258" s="1774" t="s">
        <v>2282</v>
      </c>
      <c r="B258" s="1774" t="s">
        <v>16</v>
      </c>
      <c r="C258" s="1774" t="s">
        <v>2306</v>
      </c>
      <c r="D258" s="1774" t="s">
        <v>2307</v>
      </c>
      <c r="E258" s="1774" t="s">
        <v>2308</v>
      </c>
      <c r="F258" s="1774" t="s">
        <v>2309</v>
      </c>
      <c r="G258" s="1774" t="s">
        <v>28</v>
      </c>
      <c r="H258" s="1774" t="s">
        <v>28</v>
      </c>
      <c r="I258" s="1774" t="s">
        <v>938</v>
      </c>
    </row>
    <row r="259" spans="1:9" ht="11.25" customHeight="1">
      <c r="A259" s="1774" t="s">
        <v>2282</v>
      </c>
      <c r="B259" s="1774" t="s">
        <v>16</v>
      </c>
      <c r="C259" s="1774" t="s">
        <v>2859</v>
      </c>
      <c r="D259" s="1774" t="s">
        <v>2860</v>
      </c>
      <c r="E259" s="1774" t="s">
        <v>2861</v>
      </c>
      <c r="F259" s="1774" t="s">
        <v>2313</v>
      </c>
      <c r="G259" s="1774" t="s">
        <v>28</v>
      </c>
      <c r="H259" s="1774" t="s">
        <v>28</v>
      </c>
      <c r="I259" s="1774" t="s">
        <v>938</v>
      </c>
    </row>
    <row r="260" spans="1:9" ht="11.25" customHeight="1">
      <c r="A260" s="1774" t="s">
        <v>2282</v>
      </c>
      <c r="B260" s="1774" t="s">
        <v>16</v>
      </c>
      <c r="C260" s="1774" t="s">
        <v>2314</v>
      </c>
      <c r="D260" s="1774" t="s">
        <v>2315</v>
      </c>
      <c r="E260" s="1774" t="s">
        <v>2316</v>
      </c>
      <c r="F260" s="1774" t="s">
        <v>2317</v>
      </c>
      <c r="G260" s="1774" t="s">
        <v>2318</v>
      </c>
      <c r="H260" s="1774" t="s">
        <v>28</v>
      </c>
      <c r="I260" s="1774" t="s">
        <v>938</v>
      </c>
    </row>
    <row r="261" spans="1:9" ht="11.25" customHeight="1">
      <c r="A261" s="1774" t="s">
        <v>2282</v>
      </c>
      <c r="B261" s="1774" t="s">
        <v>16</v>
      </c>
      <c r="C261" s="1774" t="s">
        <v>2319</v>
      </c>
      <c r="D261" s="1774" t="s">
        <v>2315</v>
      </c>
      <c r="E261" s="1774" t="s">
        <v>2316</v>
      </c>
      <c r="F261" s="1774" t="s">
        <v>2320</v>
      </c>
      <c r="G261" s="1774" t="s">
        <v>28</v>
      </c>
      <c r="H261" s="1774" t="s">
        <v>28</v>
      </c>
      <c r="I261" s="1774" t="s">
        <v>938</v>
      </c>
    </row>
    <row r="262" spans="1:9" ht="11.25" customHeight="1">
      <c r="A262" s="1774" t="s">
        <v>2282</v>
      </c>
      <c r="B262" s="1774" t="s">
        <v>16</v>
      </c>
      <c r="C262" s="1774" t="s">
        <v>2340</v>
      </c>
      <c r="D262" s="1774" t="s">
        <v>2341</v>
      </c>
      <c r="E262" s="1774" t="s">
        <v>2342</v>
      </c>
      <c r="F262" s="1774" t="s">
        <v>2286</v>
      </c>
      <c r="G262" s="1774" t="s">
        <v>28</v>
      </c>
      <c r="H262" s="1774" t="s">
        <v>28</v>
      </c>
      <c r="I262" s="1774" t="s">
        <v>938</v>
      </c>
    </row>
    <row r="263" spans="1:9" ht="11.25" customHeight="1">
      <c r="A263" s="1774" t="s">
        <v>2282</v>
      </c>
      <c r="B263" s="1774" t="s">
        <v>16</v>
      </c>
      <c r="C263" s="1774" t="s">
        <v>2355</v>
      </c>
      <c r="D263" s="1774" t="s">
        <v>2356</v>
      </c>
      <c r="E263" s="1774" t="s">
        <v>2357</v>
      </c>
      <c r="F263" s="1774" t="s">
        <v>2354</v>
      </c>
      <c r="G263" s="1774" t="s">
        <v>28</v>
      </c>
      <c r="H263" s="1774" t="s">
        <v>28</v>
      </c>
      <c r="I263" s="1774" t="s">
        <v>938</v>
      </c>
    </row>
    <row r="264" spans="1:9" ht="11.25" customHeight="1">
      <c r="A264" s="1774" t="s">
        <v>2282</v>
      </c>
      <c r="B264" s="1774" t="s">
        <v>16</v>
      </c>
      <c r="C264" s="1774" t="s">
        <v>2366</v>
      </c>
      <c r="D264" s="1774" t="s">
        <v>2367</v>
      </c>
      <c r="E264" s="1774" t="s">
        <v>2368</v>
      </c>
      <c r="F264" s="1774" t="s">
        <v>2286</v>
      </c>
      <c r="G264" s="1774" t="s">
        <v>28</v>
      </c>
      <c r="H264" s="1774" t="s">
        <v>28</v>
      </c>
      <c r="I264" s="1774" t="s">
        <v>938</v>
      </c>
    </row>
    <row r="265" spans="1:9" ht="11.25" customHeight="1">
      <c r="A265" s="1774" t="s">
        <v>2282</v>
      </c>
      <c r="B265" s="1774" t="s">
        <v>16</v>
      </c>
      <c r="C265" s="1774" t="s">
        <v>2384</v>
      </c>
      <c r="D265" s="1774" t="s">
        <v>2385</v>
      </c>
      <c r="E265" s="1774" t="s">
        <v>2386</v>
      </c>
      <c r="F265" s="1774" t="s">
        <v>2387</v>
      </c>
      <c r="G265" s="1774" t="s">
        <v>28</v>
      </c>
      <c r="H265" s="1774" t="s">
        <v>28</v>
      </c>
      <c r="I265" s="1774" t="s">
        <v>938</v>
      </c>
    </row>
    <row r="266" spans="1:9" ht="11.25" customHeight="1">
      <c r="A266" s="1774" t="s">
        <v>2282</v>
      </c>
      <c r="B266" s="1774" t="s">
        <v>16</v>
      </c>
      <c r="C266" s="1774" t="s">
        <v>2408</v>
      </c>
      <c r="D266" s="1774" t="s">
        <v>2409</v>
      </c>
      <c r="E266" s="1774" t="s">
        <v>2410</v>
      </c>
      <c r="F266" s="1774" t="s">
        <v>2286</v>
      </c>
      <c r="G266" s="1774" t="s">
        <v>2411</v>
      </c>
      <c r="H266" s="1774" t="s">
        <v>28</v>
      </c>
      <c r="I266" s="1774" t="s">
        <v>938</v>
      </c>
    </row>
    <row r="267" spans="1:9" ht="11.25" customHeight="1">
      <c r="A267" s="1774" t="s">
        <v>2282</v>
      </c>
      <c r="B267" s="1774" t="s">
        <v>16</v>
      </c>
      <c r="C267" s="1774" t="s">
        <v>2891</v>
      </c>
      <c r="D267" s="1774" t="s">
        <v>2892</v>
      </c>
      <c r="E267" s="1774" t="s">
        <v>2893</v>
      </c>
      <c r="F267" s="1774" t="s">
        <v>2482</v>
      </c>
      <c r="G267" s="1774" t="s">
        <v>28</v>
      </c>
      <c r="H267" s="1774" t="s">
        <v>28</v>
      </c>
      <c r="I267" s="1774" t="s">
        <v>938</v>
      </c>
    </row>
    <row r="268" spans="1:9" ht="11.25" customHeight="1">
      <c r="A268" s="1774" t="s">
        <v>2282</v>
      </c>
      <c r="B268" s="1774" t="s">
        <v>16</v>
      </c>
      <c r="C268" s="1774" t="s">
        <v>2431</v>
      </c>
      <c r="D268" s="1774" t="s">
        <v>2432</v>
      </c>
      <c r="E268" s="1774" t="s">
        <v>2316</v>
      </c>
      <c r="F268" s="1774" t="s">
        <v>2433</v>
      </c>
      <c r="G268" s="1774" t="s">
        <v>2434</v>
      </c>
      <c r="H268" s="1774" t="s">
        <v>28</v>
      </c>
      <c r="I268" s="1774" t="s">
        <v>938</v>
      </c>
    </row>
    <row r="269" spans="1:9" ht="11.25" customHeight="1">
      <c r="A269" s="1774" t="s">
        <v>2282</v>
      </c>
      <c r="B269" s="1774" t="s">
        <v>16</v>
      </c>
      <c r="C269" s="1774" t="s">
        <v>2894</v>
      </c>
      <c r="D269" s="1774" t="s">
        <v>2895</v>
      </c>
      <c r="E269" s="1774" t="s">
        <v>2896</v>
      </c>
      <c r="F269" s="1774" t="s">
        <v>2445</v>
      </c>
      <c r="G269" s="1774" t="s">
        <v>28</v>
      </c>
      <c r="H269" s="1774" t="s">
        <v>28</v>
      </c>
      <c r="I269" s="1774" t="s">
        <v>938</v>
      </c>
    </row>
    <row r="270" spans="1:9" ht="11.25" customHeight="1">
      <c r="A270" s="1774" t="s">
        <v>2282</v>
      </c>
      <c r="B270" s="1774" t="s">
        <v>16</v>
      </c>
      <c r="C270" s="1774" t="s">
        <v>2442</v>
      </c>
      <c r="D270" s="1774" t="s">
        <v>2443</v>
      </c>
      <c r="E270" s="1774" t="s">
        <v>2444</v>
      </c>
      <c r="F270" s="1774" t="s">
        <v>2445</v>
      </c>
      <c r="G270" s="1774" t="s">
        <v>28</v>
      </c>
      <c r="H270" s="1774" t="s">
        <v>28</v>
      </c>
      <c r="I270" s="1774" t="s">
        <v>938</v>
      </c>
    </row>
    <row r="271" spans="1:9" ht="11.25" customHeight="1">
      <c r="A271" s="1774" t="s">
        <v>2282</v>
      </c>
      <c r="B271" s="1774" t="s">
        <v>16</v>
      </c>
      <c r="C271" s="1774" t="s">
        <v>2862</v>
      </c>
      <c r="D271" s="1774" t="s">
        <v>2863</v>
      </c>
      <c r="E271" s="1774" t="s">
        <v>2864</v>
      </c>
      <c r="F271" s="1774" t="s">
        <v>2286</v>
      </c>
      <c r="G271" s="1774" t="s">
        <v>28</v>
      </c>
      <c r="H271" s="1774" t="s">
        <v>28</v>
      </c>
      <c r="I271" s="1774" t="s">
        <v>938</v>
      </c>
    </row>
    <row r="272" spans="1:9" ht="11.25" customHeight="1">
      <c r="A272" s="1774" t="s">
        <v>2282</v>
      </c>
      <c r="B272" s="1774" t="s">
        <v>16</v>
      </c>
      <c r="C272" s="1774" t="s">
        <v>2461</v>
      </c>
      <c r="D272" s="1774" t="s">
        <v>2462</v>
      </c>
      <c r="E272" s="1774" t="s">
        <v>2463</v>
      </c>
      <c r="F272" s="1774" t="s">
        <v>2350</v>
      </c>
      <c r="G272" s="1774" t="s">
        <v>28</v>
      </c>
      <c r="H272" s="1774" t="s">
        <v>28</v>
      </c>
      <c r="I272" s="1774" t="s">
        <v>938</v>
      </c>
    </row>
    <row r="273" spans="1:9" ht="11.25" customHeight="1">
      <c r="A273" s="1774" t="s">
        <v>2282</v>
      </c>
      <c r="B273" s="1774" t="s">
        <v>16</v>
      </c>
      <c r="C273" s="1774" t="s">
        <v>28</v>
      </c>
      <c r="D273" s="1774" t="s">
        <v>2493</v>
      </c>
      <c r="E273" s="1774" t="s">
        <v>2494</v>
      </c>
      <c r="F273" s="1774" t="s">
        <v>2365</v>
      </c>
      <c r="G273" s="1774" t="s">
        <v>28</v>
      </c>
      <c r="H273" s="1774" t="s">
        <v>28</v>
      </c>
      <c r="I273" s="1774" t="s">
        <v>938</v>
      </c>
    </row>
    <row r="274" spans="1:9" ht="11.25" customHeight="1">
      <c r="A274" s="1774" t="s">
        <v>2282</v>
      </c>
      <c r="B274" s="1774" t="s">
        <v>16</v>
      </c>
      <c r="C274" s="1774" t="s">
        <v>2499</v>
      </c>
      <c r="D274" s="1774" t="s">
        <v>2500</v>
      </c>
      <c r="E274" s="1774" t="s">
        <v>2501</v>
      </c>
      <c r="F274" s="1774" t="s">
        <v>2502</v>
      </c>
      <c r="G274" s="1774" t="s">
        <v>28</v>
      </c>
      <c r="H274" s="1774" t="s">
        <v>28</v>
      </c>
      <c r="I274" s="1774" t="s">
        <v>938</v>
      </c>
    </row>
    <row r="275" spans="1:9" ht="11.25" customHeight="1">
      <c r="A275" s="1774" t="s">
        <v>2282</v>
      </c>
      <c r="B275" s="1774" t="s">
        <v>16</v>
      </c>
      <c r="C275" s="1774" t="s">
        <v>2506</v>
      </c>
      <c r="D275" s="1774" t="s">
        <v>2507</v>
      </c>
      <c r="E275" s="1774" t="s">
        <v>2508</v>
      </c>
      <c r="F275" s="1774" t="s">
        <v>2309</v>
      </c>
      <c r="G275" s="1774" t="s">
        <v>28</v>
      </c>
      <c r="H275" s="1774" t="s">
        <v>2509</v>
      </c>
      <c r="I275" s="1774" t="s">
        <v>938</v>
      </c>
    </row>
    <row r="276" spans="1:9" ht="11.25" customHeight="1">
      <c r="A276" s="1774" t="s">
        <v>2282</v>
      </c>
      <c r="B276" s="1774" t="s">
        <v>16</v>
      </c>
      <c r="C276" s="1774" t="s">
        <v>2559</v>
      </c>
      <c r="D276" s="1774" t="s">
        <v>2560</v>
      </c>
      <c r="E276" s="1774" t="s">
        <v>2561</v>
      </c>
      <c r="F276" s="1774" t="s">
        <v>2562</v>
      </c>
      <c r="G276" s="1774" t="s">
        <v>2563</v>
      </c>
      <c r="H276" s="1774" t="s">
        <v>28</v>
      </c>
      <c r="I276" s="1774" t="s">
        <v>938</v>
      </c>
    </row>
    <row r="277" spans="1:9" ht="11.25" customHeight="1">
      <c r="A277" s="1774" t="s">
        <v>2282</v>
      </c>
      <c r="B277" s="1774" t="s">
        <v>16</v>
      </c>
      <c r="C277" s="1774" t="s">
        <v>2865</v>
      </c>
      <c r="D277" s="1774" t="s">
        <v>2866</v>
      </c>
      <c r="E277" s="1774" t="s">
        <v>2561</v>
      </c>
      <c r="F277" s="1774" t="s">
        <v>2867</v>
      </c>
      <c r="G277" s="1774" t="s">
        <v>2868</v>
      </c>
      <c r="H277" s="1774" t="s">
        <v>28</v>
      </c>
      <c r="I277" s="1774" t="s">
        <v>938</v>
      </c>
    </row>
    <row r="278" spans="1:9" ht="11.25" customHeight="1">
      <c r="A278" s="1774" t="s">
        <v>2282</v>
      </c>
      <c r="B278" s="1774" t="s">
        <v>16</v>
      </c>
      <c r="C278" s="1774" t="s">
        <v>2869</v>
      </c>
      <c r="D278" s="1774" t="s">
        <v>2870</v>
      </c>
      <c r="E278" s="1774" t="s">
        <v>2871</v>
      </c>
      <c r="F278" s="1774" t="s">
        <v>2478</v>
      </c>
      <c r="G278" s="1774" t="s">
        <v>28</v>
      </c>
      <c r="H278" s="1774" t="s">
        <v>28</v>
      </c>
      <c r="I278" s="1774" t="s">
        <v>938</v>
      </c>
    </row>
    <row r="279" spans="1:9" ht="11.25" customHeight="1">
      <c r="A279" s="1774" t="s">
        <v>2282</v>
      </c>
      <c r="B279" s="1774" t="s">
        <v>16</v>
      </c>
      <c r="C279" s="1774" t="s">
        <v>2602</v>
      </c>
      <c r="D279" s="1774" t="s">
        <v>2603</v>
      </c>
      <c r="E279" s="1774" t="s">
        <v>2604</v>
      </c>
      <c r="F279" s="1774" t="s">
        <v>2605</v>
      </c>
      <c r="G279" s="1774" t="s">
        <v>28</v>
      </c>
      <c r="H279" s="1774" t="s">
        <v>28</v>
      </c>
      <c r="I279" s="1774" t="s">
        <v>938</v>
      </c>
    </row>
    <row r="280" spans="1:9" ht="11.25" customHeight="1">
      <c r="A280" s="1774" t="s">
        <v>2282</v>
      </c>
      <c r="B280" s="1774" t="s">
        <v>16</v>
      </c>
      <c r="C280" s="1774" t="s">
        <v>2872</v>
      </c>
      <c r="D280" s="1774" t="s">
        <v>2873</v>
      </c>
      <c r="E280" s="1774" t="s">
        <v>2874</v>
      </c>
      <c r="F280" s="1774" t="s">
        <v>2482</v>
      </c>
      <c r="G280" s="1774" t="s">
        <v>28</v>
      </c>
      <c r="H280" s="1774" t="s">
        <v>28</v>
      </c>
      <c r="I280" s="1774" t="s">
        <v>938</v>
      </c>
    </row>
    <row r="281" spans="1:9" ht="11.25" customHeight="1">
      <c r="A281" s="1774" t="s">
        <v>2282</v>
      </c>
      <c r="B281" s="1774" t="s">
        <v>16</v>
      </c>
      <c r="C281" s="1774" t="s">
        <v>2875</v>
      </c>
      <c r="D281" s="1774" t="s">
        <v>2876</v>
      </c>
      <c r="E281" s="1774" t="s">
        <v>2877</v>
      </c>
      <c r="F281" s="1774" t="s">
        <v>2313</v>
      </c>
      <c r="G281" s="1774" t="s">
        <v>28</v>
      </c>
      <c r="H281" s="1774" t="s">
        <v>28</v>
      </c>
      <c r="I281" s="1774" t="s">
        <v>938</v>
      </c>
    </row>
    <row r="282" spans="1:9" ht="11.25" customHeight="1">
      <c r="A282" s="1774" t="s">
        <v>2282</v>
      </c>
      <c r="B282" s="1774" t="s">
        <v>16</v>
      </c>
      <c r="C282" s="1774" t="s">
        <v>2878</v>
      </c>
      <c r="D282" s="1774" t="s">
        <v>2879</v>
      </c>
      <c r="E282" s="1774" t="s">
        <v>2880</v>
      </c>
      <c r="F282" s="1774" t="s">
        <v>2313</v>
      </c>
      <c r="G282" s="1774" t="s">
        <v>28</v>
      </c>
      <c r="H282" s="1774" t="s">
        <v>28</v>
      </c>
      <c r="I282" s="1774" t="s">
        <v>938</v>
      </c>
    </row>
    <row r="283" spans="1:9" ht="11.25" customHeight="1">
      <c r="A283" s="1774" t="s">
        <v>2282</v>
      </c>
      <c r="B283" s="1774" t="s">
        <v>16</v>
      </c>
      <c r="C283" s="1774" t="s">
        <v>2897</v>
      </c>
      <c r="D283" s="1774" t="s">
        <v>2898</v>
      </c>
      <c r="E283" s="1774" t="s">
        <v>2899</v>
      </c>
      <c r="F283" s="1774" t="s">
        <v>2301</v>
      </c>
      <c r="G283" s="1774" t="s">
        <v>28</v>
      </c>
      <c r="H283" s="1774" t="s">
        <v>28</v>
      </c>
      <c r="I283" s="1774" t="s">
        <v>938</v>
      </c>
    </row>
    <row r="284" spans="1:9" ht="11.25" customHeight="1">
      <c r="A284" s="1774" t="s">
        <v>2282</v>
      </c>
      <c r="B284" s="1774" t="s">
        <v>16</v>
      </c>
      <c r="C284" s="1774" t="s">
        <v>2881</v>
      </c>
      <c r="D284" s="1774" t="s">
        <v>2882</v>
      </c>
      <c r="E284" s="1774" t="s">
        <v>2883</v>
      </c>
      <c r="F284" s="1774" t="s">
        <v>2382</v>
      </c>
      <c r="G284" s="1774" t="s">
        <v>28</v>
      </c>
      <c r="H284" s="1774" t="s">
        <v>28</v>
      </c>
      <c r="I284" s="1774" t="s">
        <v>938</v>
      </c>
    </row>
    <row r="285" spans="1:9" ht="11.25" customHeight="1">
      <c r="A285" s="1774" t="s">
        <v>2282</v>
      </c>
      <c r="B285" s="1774" t="s">
        <v>16</v>
      </c>
      <c r="C285" s="1774" t="s">
        <v>2768</v>
      </c>
      <c r="D285" s="1774" t="s">
        <v>2769</v>
      </c>
      <c r="E285" s="1774" t="s">
        <v>2770</v>
      </c>
      <c r="F285" s="1774" t="s">
        <v>2382</v>
      </c>
      <c r="G285" s="1774" t="s">
        <v>28</v>
      </c>
      <c r="H285" s="1774" t="s">
        <v>28</v>
      </c>
      <c r="I285" s="1774" t="s">
        <v>938</v>
      </c>
    </row>
    <row r="286" spans="1:9" ht="11.25" customHeight="1">
      <c r="A286" s="1774" t="s">
        <v>2282</v>
      </c>
      <c r="B286" s="1774" t="s">
        <v>16</v>
      </c>
      <c r="C286" s="1774" t="s">
        <v>2900</v>
      </c>
      <c r="D286" s="1774" t="s">
        <v>2901</v>
      </c>
      <c r="E286" s="1774" t="s">
        <v>2902</v>
      </c>
      <c r="F286" s="1774" t="s">
        <v>2387</v>
      </c>
      <c r="G286" s="1774" t="s">
        <v>28</v>
      </c>
      <c r="H286" s="1774" t="s">
        <v>2903</v>
      </c>
      <c r="I286" s="1774" t="s">
        <v>938</v>
      </c>
    </row>
    <row r="287" spans="1:9" ht="11.25" customHeight="1">
      <c r="A287" s="1774" t="s">
        <v>2282</v>
      </c>
      <c r="B287" s="1774" t="s">
        <v>16</v>
      </c>
      <c r="C287" s="1774" t="s">
        <v>13</v>
      </c>
      <c r="D287" s="1774" t="s">
        <v>50</v>
      </c>
      <c r="E287" s="1774" t="s">
        <v>53</v>
      </c>
      <c r="F287" s="1774" t="s">
        <v>55</v>
      </c>
      <c r="G287" s="1774" t="s">
        <v>28</v>
      </c>
      <c r="H287" s="1774" t="s">
        <v>28</v>
      </c>
      <c r="I287" s="1774" t="s">
        <v>938</v>
      </c>
    </row>
    <row r="288" spans="1:9" ht="11.25" customHeight="1">
      <c r="A288" s="1774" t="s">
        <v>2282</v>
      </c>
      <c r="B288" s="1774" t="s">
        <v>16</v>
      </c>
      <c r="C288" s="1774" t="s">
        <v>2809</v>
      </c>
      <c r="D288" s="1774" t="s">
        <v>2810</v>
      </c>
      <c r="E288" s="1774" t="s">
        <v>2811</v>
      </c>
      <c r="F288" s="1774" t="s">
        <v>2286</v>
      </c>
      <c r="G288" s="1774" t="s">
        <v>28</v>
      </c>
      <c r="H288" s="1774" t="s">
        <v>28</v>
      </c>
      <c r="I288" s="1774" t="s">
        <v>938</v>
      </c>
    </row>
    <row r="289" spans="1:9" ht="11.25" customHeight="1">
      <c r="A289" s="1774" t="s">
        <v>2282</v>
      </c>
      <c r="B289" s="1774" t="s">
        <v>16</v>
      </c>
      <c r="C289" s="1774" t="s">
        <v>2884</v>
      </c>
      <c r="D289" s="1774" t="s">
        <v>2885</v>
      </c>
      <c r="E289" s="1774" t="s">
        <v>2886</v>
      </c>
      <c r="F289" s="1774" t="s">
        <v>2350</v>
      </c>
      <c r="G289" s="1774" t="s">
        <v>28</v>
      </c>
      <c r="H289" s="1774" t="s">
        <v>28</v>
      </c>
      <c r="I289" s="1774" t="s">
        <v>938</v>
      </c>
    </row>
    <row r="290" spans="1:9" ht="11.25" customHeight="1">
      <c r="A290" s="1774" t="s">
        <v>2282</v>
      </c>
      <c r="B290" s="1774" t="s">
        <v>16</v>
      </c>
      <c r="C290" s="1774" t="s">
        <v>2818</v>
      </c>
      <c r="D290" s="1774" t="s">
        <v>2819</v>
      </c>
      <c r="E290" s="1774" t="s">
        <v>2820</v>
      </c>
      <c r="F290" s="1774" t="s">
        <v>2354</v>
      </c>
      <c r="G290" s="1774" t="s">
        <v>28</v>
      </c>
      <c r="H290" s="1774" t="s">
        <v>28</v>
      </c>
      <c r="I290" s="1774" t="s">
        <v>938</v>
      </c>
    </row>
    <row r="291" spans="1:9" ht="11.25" customHeight="1">
      <c r="A291" s="1774" t="s">
        <v>2282</v>
      </c>
      <c r="B291" s="1774" t="s">
        <v>16</v>
      </c>
      <c r="C291" s="1774" t="s">
        <v>2849</v>
      </c>
      <c r="D291" s="1774" t="s">
        <v>2850</v>
      </c>
      <c r="E291" s="1774" t="s">
        <v>2851</v>
      </c>
      <c r="F291" s="1774" t="s">
        <v>2852</v>
      </c>
      <c r="G291" s="1774" t="s">
        <v>28</v>
      </c>
      <c r="H291" s="1774" t="s">
        <v>28</v>
      </c>
      <c r="I291" s="1774" t="s">
        <v>938</v>
      </c>
    </row>
    <row r="292" spans="1:9" ht="11.25" customHeight="1">
      <c r="A292" s="1774" t="s">
        <v>2282</v>
      </c>
      <c r="B292" s="1774" t="s">
        <v>16</v>
      </c>
      <c r="C292" s="1774" t="s">
        <v>2853</v>
      </c>
      <c r="D292" s="1774" t="s">
        <v>2854</v>
      </c>
      <c r="E292" s="1774" t="s">
        <v>2841</v>
      </c>
      <c r="F292" s="1774" t="s">
        <v>2498</v>
      </c>
      <c r="G292" s="1774" t="s">
        <v>2855</v>
      </c>
      <c r="H292" s="1774" t="s">
        <v>28</v>
      </c>
      <c r="I292" s="1774" t="s">
        <v>938</v>
      </c>
    </row>
    <row r="293" spans="1:9" ht="11.25" customHeight="1">
      <c r="A293" s="1774" t="s">
        <v>2282</v>
      </c>
      <c r="B293" s="1774" t="s">
        <v>16</v>
      </c>
      <c r="C293" s="1774" t="s">
        <v>2856</v>
      </c>
      <c r="D293" s="1774" t="s">
        <v>2857</v>
      </c>
      <c r="E293" s="1774" t="s">
        <v>2841</v>
      </c>
      <c r="F293" s="1774" t="s">
        <v>2858</v>
      </c>
      <c r="G293" s="1774" t="s">
        <v>28</v>
      </c>
      <c r="H293" s="1774" t="s">
        <v>28</v>
      </c>
      <c r="I293" s="1774" t="s">
        <v>938</v>
      </c>
    </row>
    <row r="294" spans="1:9" ht="11.25" customHeight="1">
      <c r="A294" s="1774" t="s">
        <v>2282</v>
      </c>
      <c r="B294" s="1774" t="s">
        <v>16</v>
      </c>
      <c r="C294" s="1774" t="s">
        <v>2904</v>
      </c>
      <c r="D294" s="1774" t="s">
        <v>2905</v>
      </c>
      <c r="E294" s="1774" t="s">
        <v>2906</v>
      </c>
      <c r="F294" s="1774" t="s">
        <v>2286</v>
      </c>
      <c r="G294" s="1774" t="s">
        <v>28</v>
      </c>
      <c r="H294" s="1774" t="s">
        <v>28</v>
      </c>
      <c r="I294" s="1774" t="s">
        <v>1651</v>
      </c>
    </row>
    <row r="295" spans="1:9" ht="11.25" customHeight="1">
      <c r="A295" s="1774" t="s">
        <v>2282</v>
      </c>
      <c r="B295" s="1774" t="s">
        <v>16</v>
      </c>
      <c r="C295" s="1774" t="s">
        <v>2907</v>
      </c>
      <c r="D295" s="1774" t="s">
        <v>2908</v>
      </c>
      <c r="E295" s="1774" t="s">
        <v>2909</v>
      </c>
      <c r="F295" s="1774" t="s">
        <v>2293</v>
      </c>
      <c r="G295" s="1774" t="s">
        <v>28</v>
      </c>
      <c r="H295" s="1774" t="s">
        <v>28</v>
      </c>
      <c r="I295" s="1774" t="s">
        <v>1651</v>
      </c>
    </row>
    <row r="296" spans="1:9" ht="11.25" customHeight="1">
      <c r="A296" s="1774" t="s">
        <v>2282</v>
      </c>
      <c r="B296" s="1774" t="s">
        <v>16</v>
      </c>
      <c r="C296" s="1774" t="s">
        <v>2910</v>
      </c>
      <c r="D296" s="1774" t="s">
        <v>2911</v>
      </c>
      <c r="E296" s="1774" t="s">
        <v>2912</v>
      </c>
      <c r="F296" s="1774" t="s">
        <v>2346</v>
      </c>
      <c r="G296" s="1774" t="s">
        <v>28</v>
      </c>
      <c r="H296" s="1774" t="s">
        <v>28</v>
      </c>
      <c r="I296" s="1774" t="s">
        <v>1651</v>
      </c>
    </row>
    <row r="297" spans="1:9" ht="11.25" customHeight="1">
      <c r="A297" s="1774" t="s">
        <v>2282</v>
      </c>
      <c r="B297" s="1774" t="s">
        <v>16</v>
      </c>
      <c r="C297" s="1774" t="s">
        <v>2913</v>
      </c>
      <c r="D297" s="1774" t="s">
        <v>2914</v>
      </c>
      <c r="E297" s="1774" t="s">
        <v>2915</v>
      </c>
      <c r="F297" s="1774" t="s">
        <v>2916</v>
      </c>
      <c r="G297" s="1774" t="s">
        <v>28</v>
      </c>
      <c r="H297" s="1774" t="s">
        <v>28</v>
      </c>
      <c r="I297" s="1774" t="s">
        <v>1651</v>
      </c>
    </row>
    <row r="298" spans="1:9" ht="11.25" customHeight="1">
      <c r="A298" s="1774" t="s">
        <v>2282</v>
      </c>
      <c r="B298" s="1774" t="s">
        <v>16</v>
      </c>
      <c r="C298" s="1774" t="s">
        <v>28</v>
      </c>
      <c r="D298" s="1774" t="s">
        <v>2493</v>
      </c>
      <c r="E298" s="1774" t="s">
        <v>2494</v>
      </c>
      <c r="F298" s="1774" t="s">
        <v>2365</v>
      </c>
      <c r="G298" s="1774" t="s">
        <v>28</v>
      </c>
      <c r="H298" s="1774" t="s">
        <v>28</v>
      </c>
      <c r="I298" s="1774" t="s">
        <v>1651</v>
      </c>
    </row>
    <row r="299" spans="1:9" ht="11.25" customHeight="1">
      <c r="A299" s="1774" t="s">
        <v>2282</v>
      </c>
      <c r="B299" s="1774" t="s">
        <v>16</v>
      </c>
      <c r="C299" s="1774" t="s">
        <v>2917</v>
      </c>
      <c r="D299" s="1774" t="s">
        <v>2918</v>
      </c>
      <c r="E299" s="1774" t="s">
        <v>2919</v>
      </c>
      <c r="F299" s="1774" t="s">
        <v>2920</v>
      </c>
      <c r="G299" s="1774" t="s">
        <v>28</v>
      </c>
      <c r="H299" s="1774" t="s">
        <v>28</v>
      </c>
      <c r="I299" s="1774" t="s">
        <v>1651</v>
      </c>
    </row>
    <row r="300" spans="1:9" ht="11.25" customHeight="1">
      <c r="A300" s="1774" t="s">
        <v>2282</v>
      </c>
      <c r="B300" s="1774" t="s">
        <v>16</v>
      </c>
      <c r="C300" s="1774" t="s">
        <v>2921</v>
      </c>
      <c r="D300" s="1774" t="s">
        <v>2922</v>
      </c>
      <c r="E300" s="1774" t="s">
        <v>2923</v>
      </c>
      <c r="F300" s="1774" t="s">
        <v>2293</v>
      </c>
      <c r="G300" s="1774" t="s">
        <v>28</v>
      </c>
      <c r="H300" s="1774" t="s">
        <v>28</v>
      </c>
      <c r="I300" s="1774" t="s">
        <v>1651</v>
      </c>
    </row>
    <row r="301" spans="1:9" ht="11.25" customHeight="1">
      <c r="A301" s="1774" t="s">
        <v>2282</v>
      </c>
      <c r="B301" s="1774" t="s">
        <v>16</v>
      </c>
      <c r="C301" s="1774" t="s">
        <v>2924</v>
      </c>
      <c r="D301" s="1774" t="s">
        <v>2925</v>
      </c>
      <c r="E301" s="1774" t="s">
        <v>2926</v>
      </c>
      <c r="F301" s="1774" t="s">
        <v>2361</v>
      </c>
      <c r="G301" s="1774" t="s">
        <v>28</v>
      </c>
      <c r="H301" s="1774" t="s">
        <v>28</v>
      </c>
      <c r="I301" s="1774" t="s">
        <v>1651</v>
      </c>
    </row>
    <row r="302" spans="1:9" ht="11.25" customHeight="1">
      <c r="A302" s="1774" t="s">
        <v>2282</v>
      </c>
      <c r="B302" s="1774" t="s">
        <v>16</v>
      </c>
      <c r="C302" s="1774" t="s">
        <v>2927</v>
      </c>
      <c r="D302" s="1774" t="s">
        <v>2928</v>
      </c>
      <c r="E302" s="1774" t="s">
        <v>2929</v>
      </c>
      <c r="F302" s="1774" t="s">
        <v>2930</v>
      </c>
      <c r="G302" s="1774" t="s">
        <v>28</v>
      </c>
      <c r="H302" s="1774" t="s">
        <v>28</v>
      </c>
      <c r="I302" s="1774" t="s">
        <v>1651</v>
      </c>
    </row>
    <row r="303" spans="1:9" ht="11.25" customHeight="1">
      <c r="A303" s="1774" t="s">
        <v>2282</v>
      </c>
      <c r="B303" s="1774" t="s">
        <v>16</v>
      </c>
      <c r="C303" s="1774" t="s">
        <v>2931</v>
      </c>
      <c r="D303" s="1774" t="s">
        <v>2932</v>
      </c>
      <c r="E303" s="1774" t="s">
        <v>2933</v>
      </c>
      <c r="F303" s="1774" t="s">
        <v>2916</v>
      </c>
      <c r="G303" s="1774" t="s">
        <v>28</v>
      </c>
      <c r="H303" s="1774" t="s">
        <v>28</v>
      </c>
      <c r="I303" s="1774" t="s">
        <v>1651</v>
      </c>
    </row>
    <row r="304" spans="1:9" ht="11.25" customHeight="1">
      <c r="A304" s="1774" t="s">
        <v>2282</v>
      </c>
      <c r="B304" s="1774" t="s">
        <v>16</v>
      </c>
      <c r="C304" s="1774" t="s">
        <v>2934</v>
      </c>
      <c r="D304" s="1774" t="s">
        <v>2935</v>
      </c>
      <c r="E304" s="1774" t="s">
        <v>2936</v>
      </c>
      <c r="F304" s="1774" t="s">
        <v>2293</v>
      </c>
      <c r="G304" s="1774" t="s">
        <v>2937</v>
      </c>
      <c r="H304" s="1774" t="s">
        <v>28</v>
      </c>
      <c r="I304" s="1774" t="s">
        <v>1651</v>
      </c>
    </row>
    <row r="305" spans="1:9" ht="11.25" customHeight="1">
      <c r="A305" s="1774" t="s">
        <v>2282</v>
      </c>
      <c r="B305" s="1774" t="s">
        <v>16</v>
      </c>
      <c r="C305" s="1774" t="s">
        <v>2938</v>
      </c>
      <c r="D305" s="1774" t="s">
        <v>2939</v>
      </c>
      <c r="E305" s="1774" t="s">
        <v>2940</v>
      </c>
      <c r="F305" s="1774" t="s">
        <v>2675</v>
      </c>
      <c r="G305" s="1774" t="s">
        <v>28</v>
      </c>
      <c r="H305" s="1774" t="s">
        <v>28</v>
      </c>
      <c r="I305" s="1774" t="s">
        <v>1651</v>
      </c>
    </row>
    <row r="306" spans="1:9" ht="11.25" customHeight="1">
      <c r="A306" s="1774" t="s">
        <v>2282</v>
      </c>
      <c r="B306" s="1774" t="s">
        <v>16</v>
      </c>
      <c r="C306" s="1774" t="s">
        <v>2941</v>
      </c>
      <c r="D306" s="1774" t="s">
        <v>2942</v>
      </c>
      <c r="E306" s="1774" t="s">
        <v>2943</v>
      </c>
      <c r="F306" s="1774" t="s">
        <v>2944</v>
      </c>
      <c r="G306" s="1774" t="s">
        <v>28</v>
      </c>
      <c r="H306" s="1774" t="s">
        <v>28</v>
      </c>
      <c r="I306" s="1774" t="s">
        <v>1651</v>
      </c>
    </row>
    <row r="307" spans="1:9" ht="11.25" customHeight="1">
      <c r="A307" s="1774" t="s">
        <v>2282</v>
      </c>
      <c r="B307" s="1774" t="s">
        <v>16</v>
      </c>
      <c r="C307" s="1774" t="s">
        <v>2945</v>
      </c>
      <c r="D307" s="1774" t="s">
        <v>2946</v>
      </c>
      <c r="E307" s="1774" t="s">
        <v>2947</v>
      </c>
      <c r="F307" s="1774" t="s">
        <v>2382</v>
      </c>
      <c r="G307" s="1774" t="s">
        <v>2948</v>
      </c>
      <c r="H307" s="1774" t="s">
        <v>28</v>
      </c>
      <c r="I307" s="1774" t="s">
        <v>1651</v>
      </c>
    </row>
    <row r="308" spans="1:9" ht="11.25" customHeight="1">
      <c r="A308" s="1774" t="s">
        <v>2282</v>
      </c>
      <c r="B308" s="1774" t="s">
        <v>16</v>
      </c>
      <c r="C308" s="1774" t="s">
        <v>2949</v>
      </c>
      <c r="D308" s="1774" t="s">
        <v>2950</v>
      </c>
      <c r="E308" s="1774" t="s">
        <v>2951</v>
      </c>
      <c r="F308" s="1774" t="s">
        <v>2930</v>
      </c>
      <c r="G308" s="1774" t="s">
        <v>28</v>
      </c>
      <c r="H308" s="1774" t="s">
        <v>28</v>
      </c>
      <c r="I308" s="1774" t="s">
        <v>1651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13"/>
  <sheetViews>
    <sheetView showGridLines="0" workbookViewId="0"/>
  </sheetViews>
  <sheetFormatPr defaultRowHeight="11.25" customHeight="1"/>
  <cols>
    <col min="1" max="1" width="9.140625" style="1774"/>
  </cols>
  <sheetData>
    <row r="1" spans="1:7" ht="11.25" customHeight="1">
      <c r="A1" s="309" t="s">
        <v>2952</v>
      </c>
      <c r="B1" s="4" t="s">
        <v>2953</v>
      </c>
      <c r="C1" s="4" t="s">
        <v>2954</v>
      </c>
      <c r="D1" s="4" t="s">
        <v>2955</v>
      </c>
      <c r="E1" s="3" t="s">
        <v>2956</v>
      </c>
      <c r="F1" s="3" t="s">
        <v>2957</v>
      </c>
      <c r="G1" s="3" t="s">
        <v>2958</v>
      </c>
    </row>
    <row r="2" spans="1:7" ht="11.25" customHeight="1">
      <c r="A2" s="309" t="s">
        <v>16</v>
      </c>
      <c r="B2" t="s">
        <v>102</v>
      </c>
      <c r="C2" t="s">
        <v>103</v>
      </c>
      <c r="D2" t="s">
        <v>2959</v>
      </c>
      <c r="E2" t="s">
        <v>2960</v>
      </c>
      <c r="F2" t="s">
        <v>2961</v>
      </c>
      <c r="G2" t="s">
        <v>111</v>
      </c>
    </row>
    <row r="3" spans="1:7" ht="11.25" customHeight="1">
      <c r="A3" s="309" t="s">
        <v>16</v>
      </c>
      <c r="B3" t="s">
        <v>102</v>
      </c>
      <c r="C3" t="s">
        <v>103</v>
      </c>
      <c r="D3" t="s">
        <v>2962</v>
      </c>
      <c r="E3" t="s">
        <v>2963</v>
      </c>
      <c r="F3" t="s">
        <v>2961</v>
      </c>
      <c r="G3" t="s">
        <v>112</v>
      </c>
    </row>
    <row r="4" spans="1:7" ht="11.25" customHeight="1">
      <c r="A4" s="309" t="s">
        <v>16</v>
      </c>
      <c r="B4" t="s">
        <v>102</v>
      </c>
      <c r="C4" t="s">
        <v>103</v>
      </c>
      <c r="D4" t="s">
        <v>2964</v>
      </c>
      <c r="E4" t="s">
        <v>2965</v>
      </c>
      <c r="F4" t="s">
        <v>2961</v>
      </c>
      <c r="G4" t="s">
        <v>92</v>
      </c>
    </row>
    <row r="5" spans="1:7" ht="11.25" customHeight="1">
      <c r="A5" s="309" t="s">
        <v>16</v>
      </c>
      <c r="B5" t="s">
        <v>102</v>
      </c>
      <c r="C5" t="s">
        <v>103</v>
      </c>
      <c r="D5" t="s">
        <v>2966</v>
      </c>
      <c r="E5" t="s">
        <v>2967</v>
      </c>
      <c r="F5" t="s">
        <v>2961</v>
      </c>
      <c r="G5" t="s">
        <v>93</v>
      </c>
    </row>
    <row r="6" spans="1:7" ht="11.25" customHeight="1">
      <c r="A6" s="309" t="s">
        <v>16</v>
      </c>
      <c r="B6" t="s">
        <v>102</v>
      </c>
      <c r="C6" t="s">
        <v>103</v>
      </c>
      <c r="D6" t="s">
        <v>2968</v>
      </c>
      <c r="E6" t="s">
        <v>2969</v>
      </c>
      <c r="F6" t="s">
        <v>2961</v>
      </c>
      <c r="G6" t="s">
        <v>113</v>
      </c>
    </row>
    <row r="7" spans="1:7" ht="11.25" customHeight="1">
      <c r="A7" s="309" t="s">
        <v>16</v>
      </c>
      <c r="B7" t="s">
        <v>102</v>
      </c>
      <c r="C7" t="s">
        <v>103</v>
      </c>
      <c r="D7" t="s">
        <v>2970</v>
      </c>
      <c r="E7" t="s">
        <v>2971</v>
      </c>
      <c r="F7" t="s">
        <v>2961</v>
      </c>
      <c r="G7" t="s">
        <v>94</v>
      </c>
    </row>
    <row r="8" spans="1:7" ht="11.25" customHeight="1">
      <c r="A8" s="309" t="s">
        <v>16</v>
      </c>
      <c r="B8" t="s">
        <v>102</v>
      </c>
      <c r="C8" t="s">
        <v>103</v>
      </c>
      <c r="D8" t="s">
        <v>2972</v>
      </c>
      <c r="E8" t="s">
        <v>2973</v>
      </c>
      <c r="F8" t="s">
        <v>2961</v>
      </c>
      <c r="G8" t="s">
        <v>95</v>
      </c>
    </row>
    <row r="9" spans="1:7" ht="11.25" customHeight="1">
      <c r="A9" s="309" t="s">
        <v>16</v>
      </c>
      <c r="B9" t="s">
        <v>102</v>
      </c>
      <c r="C9" t="s">
        <v>103</v>
      </c>
      <c r="D9" t="s">
        <v>2974</v>
      </c>
      <c r="E9" t="s">
        <v>2975</v>
      </c>
      <c r="F9" t="s">
        <v>2961</v>
      </c>
      <c r="G9" t="s">
        <v>114</v>
      </c>
    </row>
    <row r="10" spans="1:7" ht="11.25" customHeight="1">
      <c r="A10" s="309" t="s">
        <v>16</v>
      </c>
      <c r="B10" t="s">
        <v>102</v>
      </c>
      <c r="C10" t="s">
        <v>103</v>
      </c>
      <c r="D10" t="s">
        <v>102</v>
      </c>
      <c r="E10" t="s">
        <v>103</v>
      </c>
      <c r="F10" t="s">
        <v>2976</v>
      </c>
      <c r="G10" t="s">
        <v>101</v>
      </c>
    </row>
    <row r="11" spans="1:7" ht="11.25" customHeight="1">
      <c r="A11" s="309" t="s">
        <v>16</v>
      </c>
      <c r="B11" t="s">
        <v>102</v>
      </c>
      <c r="C11" t="s">
        <v>103</v>
      </c>
      <c r="D11" t="s">
        <v>2977</v>
      </c>
      <c r="E11" t="s">
        <v>2978</v>
      </c>
      <c r="F11" t="s">
        <v>2961</v>
      </c>
      <c r="G11" t="s">
        <v>150</v>
      </c>
    </row>
    <row r="12" spans="1:7" ht="11.25" customHeight="1">
      <c r="A12" s="309" t="s">
        <v>16</v>
      </c>
      <c r="B12" t="s">
        <v>102</v>
      </c>
      <c r="C12" t="s">
        <v>103</v>
      </c>
      <c r="D12" t="s">
        <v>2979</v>
      </c>
      <c r="E12" t="s">
        <v>2980</v>
      </c>
      <c r="F12" t="s">
        <v>2961</v>
      </c>
      <c r="G12" t="s">
        <v>151</v>
      </c>
    </row>
    <row r="13" spans="1:7" ht="11.25" customHeight="1">
      <c r="A13" s="309" t="s">
        <v>16</v>
      </c>
      <c r="B13" t="s">
        <v>102</v>
      </c>
      <c r="C13" t="s">
        <v>103</v>
      </c>
      <c r="D13" t="s">
        <v>2981</v>
      </c>
      <c r="E13" t="s">
        <v>2982</v>
      </c>
      <c r="F13" t="s">
        <v>2961</v>
      </c>
      <c r="G13" t="s">
        <v>152</v>
      </c>
    </row>
    <row r="14" spans="1:7" ht="11.25" customHeight="1">
      <c r="A14" s="309" t="s">
        <v>16</v>
      </c>
      <c r="B14" t="s">
        <v>102</v>
      </c>
      <c r="C14" t="s">
        <v>103</v>
      </c>
      <c r="D14" t="s">
        <v>2983</v>
      </c>
      <c r="E14" t="s">
        <v>2984</v>
      </c>
      <c r="F14" t="s">
        <v>2961</v>
      </c>
      <c r="G14" t="s">
        <v>153</v>
      </c>
    </row>
    <row r="15" spans="1:7" ht="11.25" customHeight="1">
      <c r="A15" s="309" t="s">
        <v>16</v>
      </c>
      <c r="B15" t="s">
        <v>102</v>
      </c>
      <c r="C15" t="s">
        <v>103</v>
      </c>
      <c r="D15" t="s">
        <v>2985</v>
      </c>
      <c r="E15" t="s">
        <v>2986</v>
      </c>
      <c r="F15" t="s">
        <v>2961</v>
      </c>
      <c r="G15" t="s">
        <v>154</v>
      </c>
    </row>
    <row r="16" spans="1:7" ht="11.25" customHeight="1">
      <c r="A16" s="309" t="s">
        <v>16</v>
      </c>
      <c r="B16" t="s">
        <v>102</v>
      </c>
      <c r="C16" t="s">
        <v>103</v>
      </c>
      <c r="D16" t="s">
        <v>2987</v>
      </c>
      <c r="E16" t="s">
        <v>2988</v>
      </c>
      <c r="F16" t="s">
        <v>2961</v>
      </c>
      <c r="G16" t="s">
        <v>1495</v>
      </c>
    </row>
    <row r="17" spans="1:7" ht="11.25" customHeight="1">
      <c r="A17" s="309" t="s">
        <v>16</v>
      </c>
      <c r="B17" t="s">
        <v>102</v>
      </c>
      <c r="C17" t="s">
        <v>103</v>
      </c>
      <c r="D17" t="s">
        <v>2989</v>
      </c>
      <c r="E17" t="s">
        <v>2990</v>
      </c>
      <c r="F17" t="s">
        <v>2991</v>
      </c>
      <c r="G17" t="s">
        <v>1501</v>
      </c>
    </row>
    <row r="18" spans="1:7" ht="11.25" customHeight="1">
      <c r="A18" s="309" t="s">
        <v>16</v>
      </c>
      <c r="B18" t="s">
        <v>102</v>
      </c>
      <c r="C18" t="s">
        <v>103</v>
      </c>
      <c r="D18" t="s">
        <v>2992</v>
      </c>
      <c r="E18" t="s">
        <v>2993</v>
      </c>
      <c r="F18" t="s">
        <v>2991</v>
      </c>
      <c r="G18" t="s">
        <v>1513</v>
      </c>
    </row>
    <row r="19" spans="1:7" ht="11.25" customHeight="1">
      <c r="A19" s="309" t="s">
        <v>16</v>
      </c>
      <c r="B19" t="s">
        <v>102</v>
      </c>
      <c r="C19" t="s">
        <v>103</v>
      </c>
      <c r="D19" t="s">
        <v>2994</v>
      </c>
      <c r="E19" t="s">
        <v>2995</v>
      </c>
      <c r="F19" t="s">
        <v>2961</v>
      </c>
      <c r="G19" t="s">
        <v>1527</v>
      </c>
    </row>
    <row r="20" spans="1:7" ht="11.25" customHeight="1">
      <c r="A20" s="309" t="s">
        <v>16</v>
      </c>
      <c r="B20" t="s">
        <v>102</v>
      </c>
      <c r="C20" t="s">
        <v>103</v>
      </c>
      <c r="D20" t="s">
        <v>2996</v>
      </c>
      <c r="E20" t="s">
        <v>2997</v>
      </c>
      <c r="F20" t="s">
        <v>2961</v>
      </c>
      <c r="G20" t="s">
        <v>1539</v>
      </c>
    </row>
    <row r="21" spans="1:7" ht="11.25" customHeight="1">
      <c r="A21" s="309" t="s">
        <v>16</v>
      </c>
      <c r="B21" t="s">
        <v>102</v>
      </c>
      <c r="C21" t="s">
        <v>103</v>
      </c>
      <c r="D21" t="s">
        <v>2998</v>
      </c>
      <c r="E21" t="s">
        <v>2999</v>
      </c>
      <c r="F21" t="s">
        <v>2961</v>
      </c>
      <c r="G21" t="s">
        <v>1548</v>
      </c>
    </row>
    <row r="22" spans="1:7" ht="11.25" customHeight="1">
      <c r="A22" s="309" t="s">
        <v>16</v>
      </c>
      <c r="B22" t="s">
        <v>102</v>
      </c>
      <c r="C22" t="s">
        <v>103</v>
      </c>
      <c r="D22" t="s">
        <v>3000</v>
      </c>
      <c r="E22" t="s">
        <v>3001</v>
      </c>
      <c r="F22" t="s">
        <v>2991</v>
      </c>
      <c r="G22" t="s">
        <v>1564</v>
      </c>
    </row>
    <row r="23" spans="1:7" ht="11.25" customHeight="1">
      <c r="A23" s="309" t="s">
        <v>16</v>
      </c>
      <c r="B23" t="s">
        <v>102</v>
      </c>
      <c r="C23" t="s">
        <v>103</v>
      </c>
      <c r="D23" t="s">
        <v>3002</v>
      </c>
      <c r="E23" t="s">
        <v>3003</v>
      </c>
      <c r="F23" t="s">
        <v>2961</v>
      </c>
      <c r="G23" t="s">
        <v>1571</v>
      </c>
    </row>
    <row r="24" spans="1:7" ht="11.25" customHeight="1">
      <c r="A24" s="309" t="s">
        <v>16</v>
      </c>
      <c r="B24" t="s">
        <v>102</v>
      </c>
      <c r="C24" t="s">
        <v>103</v>
      </c>
      <c r="D24" t="s">
        <v>3004</v>
      </c>
      <c r="E24" t="s">
        <v>3005</v>
      </c>
      <c r="F24" t="s">
        <v>2991</v>
      </c>
      <c r="G24" t="s">
        <v>1579</v>
      </c>
    </row>
    <row r="25" spans="1:7" ht="11.25" customHeight="1">
      <c r="A25" s="309" t="s">
        <v>16</v>
      </c>
      <c r="B25" t="s">
        <v>102</v>
      </c>
      <c r="C25" t="s">
        <v>103</v>
      </c>
      <c r="D25" t="s">
        <v>3006</v>
      </c>
      <c r="E25" t="s">
        <v>3007</v>
      </c>
      <c r="F25" t="s">
        <v>2961</v>
      </c>
      <c r="G25" t="s">
        <v>1586</v>
      </c>
    </row>
    <row r="26" spans="1:7" ht="11.25" customHeight="1">
      <c r="A26" s="309" t="s">
        <v>16</v>
      </c>
      <c r="B26" t="s">
        <v>102</v>
      </c>
      <c r="C26" t="s">
        <v>103</v>
      </c>
      <c r="D26" t="s">
        <v>3008</v>
      </c>
      <c r="E26" t="s">
        <v>3009</v>
      </c>
      <c r="F26" t="s">
        <v>2961</v>
      </c>
      <c r="G26" t="s">
        <v>1590</v>
      </c>
    </row>
    <row r="27" spans="1:7" ht="11.25" customHeight="1">
      <c r="A27" s="309" t="s">
        <v>16</v>
      </c>
      <c r="B27" t="s">
        <v>102</v>
      </c>
      <c r="C27" t="s">
        <v>103</v>
      </c>
      <c r="D27" t="s">
        <v>3010</v>
      </c>
      <c r="E27" t="s">
        <v>3011</v>
      </c>
      <c r="F27" t="s">
        <v>2961</v>
      </c>
      <c r="G27" t="s">
        <v>1595</v>
      </c>
    </row>
    <row r="28" spans="1:7" ht="11.25" customHeight="1">
      <c r="A28" s="309" t="s">
        <v>16</v>
      </c>
      <c r="B28" t="s">
        <v>102</v>
      </c>
      <c r="C28" t="s">
        <v>103</v>
      </c>
      <c r="D28" t="s">
        <v>3012</v>
      </c>
      <c r="E28" t="s">
        <v>3013</v>
      </c>
      <c r="F28" t="s">
        <v>2991</v>
      </c>
      <c r="G28" t="s">
        <v>1603</v>
      </c>
    </row>
    <row r="29" spans="1:7" ht="11.25" customHeight="1">
      <c r="A29" s="309" t="s">
        <v>16</v>
      </c>
      <c r="B29" t="s">
        <v>102</v>
      </c>
      <c r="C29" t="s">
        <v>103</v>
      </c>
      <c r="D29" t="s">
        <v>3014</v>
      </c>
      <c r="E29" t="s">
        <v>3015</v>
      </c>
      <c r="F29" t="s">
        <v>2991</v>
      </c>
      <c r="G29" t="s">
        <v>1605</v>
      </c>
    </row>
    <row r="30" spans="1:7" ht="11.25" customHeight="1">
      <c r="A30" s="309" t="s">
        <v>16</v>
      </c>
      <c r="B30" t="s">
        <v>102</v>
      </c>
      <c r="C30" t="s">
        <v>103</v>
      </c>
      <c r="D30" t="s">
        <v>3016</v>
      </c>
      <c r="E30" t="s">
        <v>3017</v>
      </c>
      <c r="F30" t="s">
        <v>2961</v>
      </c>
      <c r="G30" t="s">
        <v>1608</v>
      </c>
    </row>
    <row r="31" spans="1:7" ht="11.25" customHeight="1">
      <c r="A31" s="309" t="s">
        <v>16</v>
      </c>
      <c r="B31" t="s">
        <v>102</v>
      </c>
      <c r="C31" t="s">
        <v>103</v>
      </c>
      <c r="D31" t="s">
        <v>3018</v>
      </c>
      <c r="E31" t="s">
        <v>3019</v>
      </c>
      <c r="F31" t="s">
        <v>2961</v>
      </c>
      <c r="G31" t="s">
        <v>1613</v>
      </c>
    </row>
    <row r="32" spans="1:7" ht="11.25" customHeight="1">
      <c r="A32" s="309" t="s">
        <v>16</v>
      </c>
      <c r="B32" t="s">
        <v>102</v>
      </c>
      <c r="C32" t="s">
        <v>103</v>
      </c>
      <c r="D32" t="s">
        <v>3020</v>
      </c>
      <c r="E32" t="s">
        <v>3021</v>
      </c>
      <c r="F32" t="s">
        <v>2991</v>
      </c>
      <c r="G32" t="s">
        <v>1615</v>
      </c>
    </row>
    <row r="33" spans="1:7" ht="11.25" customHeight="1">
      <c r="A33" s="309" t="s">
        <v>16</v>
      </c>
      <c r="B33" t="s">
        <v>102</v>
      </c>
      <c r="C33" t="s">
        <v>103</v>
      </c>
      <c r="D33" t="s">
        <v>3022</v>
      </c>
      <c r="E33" t="s">
        <v>3023</v>
      </c>
      <c r="F33" t="s">
        <v>2961</v>
      </c>
      <c r="G33" t="s">
        <v>1617</v>
      </c>
    </row>
    <row r="34" spans="1:7" ht="11.25" customHeight="1">
      <c r="A34" s="309" t="s">
        <v>16</v>
      </c>
      <c r="B34" t="s">
        <v>102</v>
      </c>
      <c r="C34" t="s">
        <v>103</v>
      </c>
      <c r="D34" t="s">
        <v>3024</v>
      </c>
      <c r="E34" t="s">
        <v>3025</v>
      </c>
      <c r="F34" t="s">
        <v>2961</v>
      </c>
      <c r="G34" t="s">
        <v>1619</v>
      </c>
    </row>
    <row r="35" spans="1:7" ht="11.25" customHeight="1">
      <c r="A35" s="309" t="s">
        <v>16</v>
      </c>
      <c r="B35" t="s">
        <v>102</v>
      </c>
      <c r="C35" t="s">
        <v>103</v>
      </c>
      <c r="D35" t="s">
        <v>3026</v>
      </c>
      <c r="E35" t="s">
        <v>3027</v>
      </c>
      <c r="F35" t="s">
        <v>2961</v>
      </c>
      <c r="G35" t="s">
        <v>1624</v>
      </c>
    </row>
    <row r="36" spans="1:7" ht="11.25" customHeight="1">
      <c r="A36" s="309" t="s">
        <v>16</v>
      </c>
      <c r="B36" t="s">
        <v>102</v>
      </c>
      <c r="C36" t="s">
        <v>103</v>
      </c>
      <c r="D36" t="s">
        <v>3028</v>
      </c>
      <c r="E36" t="s">
        <v>3029</v>
      </c>
      <c r="F36" t="s">
        <v>2991</v>
      </c>
      <c r="G36" t="s">
        <v>1629</v>
      </c>
    </row>
    <row r="37" spans="1:7" ht="11.25" customHeight="1">
      <c r="A37" s="309" t="s">
        <v>16</v>
      </c>
      <c r="B37" t="s">
        <v>102</v>
      </c>
      <c r="C37" t="s">
        <v>103</v>
      </c>
      <c r="D37" t="s">
        <v>3030</v>
      </c>
      <c r="E37" t="s">
        <v>3031</v>
      </c>
      <c r="F37" t="s">
        <v>2961</v>
      </c>
      <c r="G37" t="s">
        <v>1633</v>
      </c>
    </row>
    <row r="38" spans="1:7" ht="11.25" customHeight="1">
      <c r="A38" s="309" t="s">
        <v>16</v>
      </c>
      <c r="B38" t="s">
        <v>102</v>
      </c>
      <c r="C38" t="s">
        <v>103</v>
      </c>
      <c r="D38" t="s">
        <v>3032</v>
      </c>
      <c r="E38" t="s">
        <v>3033</v>
      </c>
      <c r="F38" t="s">
        <v>2961</v>
      </c>
      <c r="G38" t="s">
        <v>1641</v>
      </c>
    </row>
    <row r="39" spans="1:7" ht="11.25" customHeight="1">
      <c r="A39" s="309" t="s">
        <v>16</v>
      </c>
      <c r="B39" t="s">
        <v>102</v>
      </c>
      <c r="C39" t="s">
        <v>103</v>
      </c>
      <c r="D39" t="s">
        <v>3034</v>
      </c>
      <c r="E39" t="s">
        <v>3035</v>
      </c>
      <c r="F39" t="s">
        <v>2961</v>
      </c>
      <c r="G39" t="s">
        <v>1647</v>
      </c>
    </row>
    <row r="40" spans="1:7" ht="11.25" customHeight="1">
      <c r="A40" s="309" t="s">
        <v>16</v>
      </c>
      <c r="B40" t="s">
        <v>102</v>
      </c>
      <c r="C40" t="s">
        <v>103</v>
      </c>
      <c r="D40" t="s">
        <v>3036</v>
      </c>
      <c r="E40" t="s">
        <v>3037</v>
      </c>
      <c r="F40" t="s">
        <v>2961</v>
      </c>
      <c r="G40" t="s">
        <v>1652</v>
      </c>
    </row>
    <row r="41" spans="1:7" ht="11.25" customHeight="1">
      <c r="A41" s="309" t="s">
        <v>16</v>
      </c>
      <c r="B41" t="s">
        <v>102</v>
      </c>
      <c r="C41" t="s">
        <v>103</v>
      </c>
      <c r="D41" t="s">
        <v>3038</v>
      </c>
      <c r="E41" t="s">
        <v>3039</v>
      </c>
      <c r="F41" t="s">
        <v>2961</v>
      </c>
      <c r="G41" t="s">
        <v>1656</v>
      </c>
    </row>
    <row r="42" spans="1:7" ht="11.25" customHeight="1">
      <c r="A42" s="309" t="s">
        <v>16</v>
      </c>
      <c r="B42" t="s">
        <v>102</v>
      </c>
      <c r="C42" t="s">
        <v>103</v>
      </c>
      <c r="D42" t="s">
        <v>3040</v>
      </c>
      <c r="E42" t="s">
        <v>3041</v>
      </c>
      <c r="F42" t="s">
        <v>2961</v>
      </c>
      <c r="G42" t="s">
        <v>1659</v>
      </c>
    </row>
    <row r="43" spans="1:7" ht="11.25" customHeight="1">
      <c r="A43" s="309" t="s">
        <v>16</v>
      </c>
      <c r="B43" t="s">
        <v>102</v>
      </c>
      <c r="C43" t="s">
        <v>103</v>
      </c>
      <c r="D43" t="s">
        <v>3042</v>
      </c>
      <c r="E43" t="s">
        <v>3043</v>
      </c>
      <c r="F43" t="s">
        <v>2961</v>
      </c>
      <c r="G43" t="s">
        <v>1666</v>
      </c>
    </row>
    <row r="44" spans="1:7" ht="11.25" customHeight="1">
      <c r="A44" s="309" t="s">
        <v>16</v>
      </c>
      <c r="B44" t="s">
        <v>102</v>
      </c>
      <c r="C44" t="s">
        <v>103</v>
      </c>
      <c r="D44" t="s">
        <v>3044</v>
      </c>
      <c r="E44" t="s">
        <v>3045</v>
      </c>
      <c r="F44" t="s">
        <v>2961</v>
      </c>
      <c r="G44" t="s">
        <v>1675</v>
      </c>
    </row>
    <row r="45" spans="1:7" ht="11.25" customHeight="1">
      <c r="A45" s="309" t="s">
        <v>16</v>
      </c>
      <c r="B45" t="s">
        <v>102</v>
      </c>
      <c r="C45" t="s">
        <v>103</v>
      </c>
      <c r="D45" t="s">
        <v>3046</v>
      </c>
      <c r="E45" t="s">
        <v>3047</v>
      </c>
      <c r="F45" t="s">
        <v>2961</v>
      </c>
      <c r="G45" t="s">
        <v>1680</v>
      </c>
    </row>
    <row r="46" spans="1:7" ht="11.25" customHeight="1">
      <c r="A46" s="309" t="s">
        <v>16</v>
      </c>
      <c r="B46" t="s">
        <v>102</v>
      </c>
      <c r="C46" t="s">
        <v>103</v>
      </c>
      <c r="D46" t="s">
        <v>3048</v>
      </c>
      <c r="E46" t="s">
        <v>3049</v>
      </c>
      <c r="F46" t="s">
        <v>2961</v>
      </c>
      <c r="G46" t="s">
        <v>1684</v>
      </c>
    </row>
    <row r="47" spans="1:7" ht="11.25" customHeight="1">
      <c r="A47" s="309" t="s">
        <v>16</v>
      </c>
      <c r="B47" t="s">
        <v>102</v>
      </c>
      <c r="C47" t="s">
        <v>103</v>
      </c>
      <c r="D47" t="s">
        <v>3050</v>
      </c>
      <c r="E47" t="s">
        <v>3051</v>
      </c>
      <c r="F47" t="s">
        <v>2961</v>
      </c>
      <c r="G47" t="s">
        <v>1690</v>
      </c>
    </row>
    <row r="48" spans="1:7" ht="11.25" customHeight="1">
      <c r="A48" s="309" t="s">
        <v>16</v>
      </c>
      <c r="B48" t="s">
        <v>102</v>
      </c>
      <c r="C48" t="s">
        <v>103</v>
      </c>
      <c r="D48" t="s">
        <v>3052</v>
      </c>
      <c r="E48" t="s">
        <v>3053</v>
      </c>
      <c r="F48" t="s">
        <v>2991</v>
      </c>
      <c r="G48" t="s">
        <v>1695</v>
      </c>
    </row>
    <row r="49" spans="1:7" ht="11.25" customHeight="1">
      <c r="A49" s="309" t="s">
        <v>16</v>
      </c>
      <c r="B49" t="s">
        <v>102</v>
      </c>
      <c r="C49" t="s">
        <v>103</v>
      </c>
      <c r="D49" t="s">
        <v>3054</v>
      </c>
      <c r="E49" t="s">
        <v>3055</v>
      </c>
      <c r="F49" t="s">
        <v>2961</v>
      </c>
      <c r="G49" t="s">
        <v>1698</v>
      </c>
    </row>
    <row r="50" spans="1:7" ht="11.25" customHeight="1">
      <c r="A50" s="309" t="s">
        <v>16</v>
      </c>
      <c r="B50" t="s">
        <v>102</v>
      </c>
      <c r="C50" t="s">
        <v>103</v>
      </c>
      <c r="D50" t="s">
        <v>3056</v>
      </c>
      <c r="E50" t="s">
        <v>3057</v>
      </c>
      <c r="F50" t="s">
        <v>2961</v>
      </c>
      <c r="G50" t="s">
        <v>1702</v>
      </c>
    </row>
    <row r="51" spans="1:7" ht="11.25" customHeight="1">
      <c r="A51" s="309" t="s">
        <v>16</v>
      </c>
      <c r="B51" t="s">
        <v>102</v>
      </c>
      <c r="C51" t="s">
        <v>103</v>
      </c>
      <c r="D51" t="s">
        <v>3058</v>
      </c>
      <c r="E51" t="s">
        <v>3059</v>
      </c>
      <c r="F51" t="s">
        <v>2991</v>
      </c>
      <c r="G51" t="s">
        <v>1706</v>
      </c>
    </row>
    <row r="52" spans="1:7" ht="11.25" customHeight="1">
      <c r="A52" s="309" t="s">
        <v>16</v>
      </c>
      <c r="B52" t="s">
        <v>102</v>
      </c>
      <c r="C52" t="s">
        <v>103</v>
      </c>
      <c r="D52" t="s">
        <v>3060</v>
      </c>
      <c r="E52" t="s">
        <v>3061</v>
      </c>
      <c r="F52" t="s">
        <v>2991</v>
      </c>
      <c r="G52" t="s">
        <v>1710</v>
      </c>
    </row>
    <row r="53" spans="1:7" ht="11.25" customHeight="1">
      <c r="A53" s="309" t="s">
        <v>16</v>
      </c>
      <c r="B53" t="s">
        <v>102</v>
      </c>
      <c r="C53" t="s">
        <v>103</v>
      </c>
      <c r="D53" t="s">
        <v>3062</v>
      </c>
      <c r="E53" t="s">
        <v>3063</v>
      </c>
      <c r="F53" t="s">
        <v>2961</v>
      </c>
      <c r="G53" t="s">
        <v>1712</v>
      </c>
    </row>
    <row r="54" spans="1:7" ht="11.25" customHeight="1">
      <c r="A54" s="309" t="s">
        <v>16</v>
      </c>
      <c r="B54" t="s">
        <v>102</v>
      </c>
      <c r="C54" t="s">
        <v>103</v>
      </c>
      <c r="D54" t="s">
        <v>3064</v>
      </c>
      <c r="E54" t="s">
        <v>3065</v>
      </c>
      <c r="F54" t="s">
        <v>2961</v>
      </c>
      <c r="G54" t="s">
        <v>1715</v>
      </c>
    </row>
    <row r="55" spans="1:7" ht="11.25" customHeight="1">
      <c r="A55" s="309" t="s">
        <v>16</v>
      </c>
      <c r="B55" t="s">
        <v>102</v>
      </c>
      <c r="C55" t="s">
        <v>103</v>
      </c>
      <c r="D55" t="s">
        <v>3066</v>
      </c>
      <c r="E55" t="s">
        <v>3067</v>
      </c>
      <c r="F55" t="s">
        <v>2961</v>
      </c>
      <c r="G55" t="s">
        <v>1719</v>
      </c>
    </row>
    <row r="56" spans="1:7" ht="11.25" customHeight="1">
      <c r="A56" s="309" t="s">
        <v>16</v>
      </c>
      <c r="B56" t="s">
        <v>102</v>
      </c>
      <c r="C56" t="s">
        <v>103</v>
      </c>
      <c r="D56" t="s">
        <v>3068</v>
      </c>
      <c r="E56" t="s">
        <v>3069</v>
      </c>
      <c r="F56" t="s">
        <v>2961</v>
      </c>
      <c r="G56" t="s">
        <v>1722</v>
      </c>
    </row>
    <row r="57" spans="1:7" ht="11.25" customHeight="1">
      <c r="A57" s="309" t="s">
        <v>16</v>
      </c>
      <c r="B57" t="s">
        <v>102</v>
      </c>
      <c r="C57" t="s">
        <v>103</v>
      </c>
      <c r="D57" t="s">
        <v>3070</v>
      </c>
      <c r="E57" t="s">
        <v>3071</v>
      </c>
      <c r="F57" t="s">
        <v>2961</v>
      </c>
      <c r="G57" t="s">
        <v>1725</v>
      </c>
    </row>
    <row r="58" spans="1:7" ht="11.25" customHeight="1">
      <c r="A58" s="309" t="s">
        <v>16</v>
      </c>
      <c r="B58" t="s">
        <v>102</v>
      </c>
      <c r="C58" t="s">
        <v>103</v>
      </c>
      <c r="D58" t="s">
        <v>3072</v>
      </c>
      <c r="E58" t="s">
        <v>3073</v>
      </c>
      <c r="F58" t="s">
        <v>2961</v>
      </c>
      <c r="G58" t="s">
        <v>1728</v>
      </c>
    </row>
    <row r="59" spans="1:7" ht="11.25" customHeight="1">
      <c r="A59" s="309" t="s">
        <v>16</v>
      </c>
      <c r="B59" t="s">
        <v>102</v>
      </c>
      <c r="C59" t="s">
        <v>103</v>
      </c>
      <c r="D59" t="s">
        <v>3074</v>
      </c>
      <c r="E59" t="s">
        <v>3075</v>
      </c>
      <c r="F59" t="s">
        <v>2961</v>
      </c>
      <c r="G59" t="s">
        <v>1732</v>
      </c>
    </row>
    <row r="60" spans="1:7" ht="11.25" customHeight="1">
      <c r="A60" s="309" t="s">
        <v>16</v>
      </c>
      <c r="B60" t="s">
        <v>102</v>
      </c>
      <c r="C60" t="s">
        <v>103</v>
      </c>
      <c r="D60" t="s">
        <v>3076</v>
      </c>
      <c r="E60" t="s">
        <v>3077</v>
      </c>
      <c r="F60" t="s">
        <v>2961</v>
      </c>
      <c r="G60" t="s">
        <v>1736</v>
      </c>
    </row>
    <row r="61" spans="1:7" ht="11.25" customHeight="1">
      <c r="A61" s="309" t="s">
        <v>16</v>
      </c>
      <c r="B61" t="s">
        <v>102</v>
      </c>
      <c r="C61" t="s">
        <v>103</v>
      </c>
      <c r="D61" t="s">
        <v>3078</v>
      </c>
      <c r="E61" t="s">
        <v>3079</v>
      </c>
      <c r="F61" t="s">
        <v>2961</v>
      </c>
      <c r="G61" t="s">
        <v>3080</v>
      </c>
    </row>
    <row r="62" spans="1:7" ht="11.25" customHeight="1">
      <c r="A62" s="309" t="s">
        <v>16</v>
      </c>
      <c r="B62" t="s">
        <v>102</v>
      </c>
      <c r="C62" t="s">
        <v>103</v>
      </c>
      <c r="D62" t="s">
        <v>3081</v>
      </c>
      <c r="E62" t="s">
        <v>3082</v>
      </c>
      <c r="F62" t="s">
        <v>2961</v>
      </c>
      <c r="G62" t="s">
        <v>3083</v>
      </c>
    </row>
    <row r="63" spans="1:7" ht="11.25" customHeight="1">
      <c r="A63" s="309" t="s">
        <v>16</v>
      </c>
      <c r="B63" t="s">
        <v>102</v>
      </c>
      <c r="C63" t="s">
        <v>103</v>
      </c>
      <c r="D63" t="s">
        <v>3084</v>
      </c>
      <c r="E63" t="s">
        <v>3085</v>
      </c>
      <c r="F63" t="s">
        <v>2961</v>
      </c>
      <c r="G63" t="s">
        <v>3086</v>
      </c>
    </row>
    <row r="64" spans="1:7" ht="11.25" customHeight="1">
      <c r="A64" s="309" t="s">
        <v>16</v>
      </c>
      <c r="B64" t="s">
        <v>102</v>
      </c>
      <c r="C64" t="s">
        <v>103</v>
      </c>
      <c r="D64" t="s">
        <v>3087</v>
      </c>
      <c r="E64" t="s">
        <v>3088</v>
      </c>
      <c r="F64" t="s">
        <v>2961</v>
      </c>
      <c r="G64" t="s">
        <v>3089</v>
      </c>
    </row>
    <row r="65" spans="1:7" ht="11.25" customHeight="1">
      <c r="A65" s="309" t="s">
        <v>16</v>
      </c>
      <c r="B65" t="s">
        <v>102</v>
      </c>
      <c r="C65" t="s">
        <v>103</v>
      </c>
      <c r="D65" t="s">
        <v>3090</v>
      </c>
      <c r="E65" t="s">
        <v>3091</v>
      </c>
      <c r="F65" t="s">
        <v>2961</v>
      </c>
      <c r="G65" t="s">
        <v>3092</v>
      </c>
    </row>
    <row r="66" spans="1:7" ht="11.25" customHeight="1">
      <c r="A66" s="309" t="s">
        <v>16</v>
      </c>
      <c r="B66" t="s">
        <v>102</v>
      </c>
      <c r="C66" t="s">
        <v>103</v>
      </c>
      <c r="D66" t="s">
        <v>3093</v>
      </c>
      <c r="E66" t="s">
        <v>3094</v>
      </c>
      <c r="F66" t="s">
        <v>2961</v>
      </c>
      <c r="G66" t="s">
        <v>3095</v>
      </c>
    </row>
    <row r="67" spans="1:7" ht="11.25" customHeight="1">
      <c r="A67" s="309" t="s">
        <v>16</v>
      </c>
      <c r="B67" t="s">
        <v>102</v>
      </c>
      <c r="C67" t="s">
        <v>103</v>
      </c>
      <c r="D67" t="s">
        <v>3096</v>
      </c>
      <c r="E67" t="s">
        <v>3097</v>
      </c>
      <c r="F67" t="s">
        <v>2961</v>
      </c>
      <c r="G67" t="s">
        <v>2056</v>
      </c>
    </row>
    <row r="68" spans="1:7" ht="11.25" customHeight="1">
      <c r="A68" s="309" t="s">
        <v>16</v>
      </c>
      <c r="B68" t="s">
        <v>102</v>
      </c>
      <c r="C68" t="s">
        <v>103</v>
      </c>
      <c r="D68" t="s">
        <v>3098</v>
      </c>
      <c r="E68" t="s">
        <v>3099</v>
      </c>
      <c r="F68" t="s">
        <v>2961</v>
      </c>
      <c r="G68" t="s">
        <v>3100</v>
      </c>
    </row>
    <row r="69" spans="1:7" ht="11.25" customHeight="1">
      <c r="A69" s="309" t="s">
        <v>16</v>
      </c>
      <c r="B69" t="s">
        <v>102</v>
      </c>
      <c r="C69" t="s">
        <v>103</v>
      </c>
      <c r="D69" t="s">
        <v>3101</v>
      </c>
      <c r="E69" t="s">
        <v>3102</v>
      </c>
      <c r="F69" t="s">
        <v>2961</v>
      </c>
      <c r="G69" t="s">
        <v>2259</v>
      </c>
    </row>
    <row r="70" spans="1:7" ht="11.25" customHeight="1">
      <c r="A70" s="309" t="s">
        <v>16</v>
      </c>
      <c r="B70" t="s">
        <v>102</v>
      </c>
      <c r="C70" t="s">
        <v>103</v>
      </c>
      <c r="D70" t="s">
        <v>3103</v>
      </c>
      <c r="E70" t="s">
        <v>3104</v>
      </c>
      <c r="F70" t="s">
        <v>2961</v>
      </c>
      <c r="G70" t="s">
        <v>3105</v>
      </c>
    </row>
    <row r="71" spans="1:7" ht="11.25" customHeight="1">
      <c r="A71" s="309" t="s">
        <v>16</v>
      </c>
      <c r="B71" t="s">
        <v>102</v>
      </c>
      <c r="C71" t="s">
        <v>103</v>
      </c>
      <c r="D71" t="s">
        <v>3106</v>
      </c>
      <c r="E71" t="s">
        <v>3107</v>
      </c>
      <c r="F71" t="s">
        <v>2961</v>
      </c>
      <c r="G71" t="s">
        <v>3108</v>
      </c>
    </row>
    <row r="72" spans="1:7" ht="11.25" customHeight="1">
      <c r="A72" s="309" t="s">
        <v>16</v>
      </c>
      <c r="B72" t="s">
        <v>102</v>
      </c>
      <c r="C72" t="s">
        <v>103</v>
      </c>
      <c r="D72" t="s">
        <v>3109</v>
      </c>
      <c r="E72" t="s">
        <v>3110</v>
      </c>
      <c r="F72" t="s">
        <v>2961</v>
      </c>
      <c r="G72" t="s">
        <v>3111</v>
      </c>
    </row>
    <row r="73" spans="1:7" ht="11.25" customHeight="1">
      <c r="A73" s="309" t="s">
        <v>16</v>
      </c>
      <c r="B73" t="s">
        <v>102</v>
      </c>
      <c r="C73" t="s">
        <v>103</v>
      </c>
      <c r="D73" t="s">
        <v>3112</v>
      </c>
      <c r="E73" t="s">
        <v>3113</v>
      </c>
      <c r="F73" t="s">
        <v>2961</v>
      </c>
      <c r="G73" t="s">
        <v>3114</v>
      </c>
    </row>
    <row r="74" spans="1:7" ht="11.25" customHeight="1">
      <c r="A74" s="309" t="s">
        <v>16</v>
      </c>
      <c r="B74" t="s">
        <v>102</v>
      </c>
      <c r="C74" t="s">
        <v>103</v>
      </c>
      <c r="D74" t="s">
        <v>3115</v>
      </c>
      <c r="E74" t="s">
        <v>3116</v>
      </c>
      <c r="F74" t="s">
        <v>2961</v>
      </c>
      <c r="G74" t="s">
        <v>3117</v>
      </c>
    </row>
    <row r="75" spans="1:7" ht="11.25" customHeight="1">
      <c r="A75" s="309" t="s">
        <v>16</v>
      </c>
      <c r="B75" t="s">
        <v>102</v>
      </c>
      <c r="C75" t="s">
        <v>103</v>
      </c>
      <c r="D75" t="s">
        <v>3118</v>
      </c>
      <c r="E75" t="s">
        <v>3119</v>
      </c>
      <c r="F75" t="s">
        <v>2961</v>
      </c>
      <c r="G75" t="s">
        <v>3120</v>
      </c>
    </row>
    <row r="76" spans="1:7" ht="11.25" customHeight="1">
      <c r="A76" s="309" t="s">
        <v>16</v>
      </c>
      <c r="B76" t="s">
        <v>102</v>
      </c>
      <c r="C76" t="s">
        <v>103</v>
      </c>
      <c r="D76" t="s">
        <v>3121</v>
      </c>
      <c r="E76" t="s">
        <v>3122</v>
      </c>
      <c r="F76" t="s">
        <v>2961</v>
      </c>
      <c r="G76" t="s">
        <v>3123</v>
      </c>
    </row>
    <row r="77" spans="1:7" ht="11.25" customHeight="1">
      <c r="A77" s="309" t="s">
        <v>16</v>
      </c>
      <c r="B77" t="s">
        <v>102</v>
      </c>
      <c r="C77" t="s">
        <v>103</v>
      </c>
      <c r="D77" t="s">
        <v>3124</v>
      </c>
      <c r="E77" t="s">
        <v>3125</v>
      </c>
      <c r="F77" t="s">
        <v>2961</v>
      </c>
      <c r="G77" t="s">
        <v>3126</v>
      </c>
    </row>
    <row r="78" spans="1:7" ht="11.25" customHeight="1">
      <c r="A78" s="309" t="s">
        <v>16</v>
      </c>
      <c r="B78" t="s">
        <v>102</v>
      </c>
      <c r="C78" t="s">
        <v>103</v>
      </c>
      <c r="D78" t="s">
        <v>3127</v>
      </c>
      <c r="E78" t="s">
        <v>3128</v>
      </c>
      <c r="F78" t="s">
        <v>2961</v>
      </c>
      <c r="G78" t="s">
        <v>3129</v>
      </c>
    </row>
    <row r="79" spans="1:7" ht="11.25" customHeight="1">
      <c r="A79" s="309" t="s">
        <v>16</v>
      </c>
      <c r="B79" t="s">
        <v>102</v>
      </c>
      <c r="C79" t="s">
        <v>103</v>
      </c>
      <c r="D79" t="s">
        <v>3130</v>
      </c>
      <c r="E79" t="s">
        <v>3131</v>
      </c>
      <c r="F79" t="s">
        <v>2961</v>
      </c>
      <c r="G79" t="s">
        <v>3132</v>
      </c>
    </row>
    <row r="80" spans="1:7" ht="11.25" customHeight="1">
      <c r="A80" s="309" t="s">
        <v>16</v>
      </c>
      <c r="B80" t="s">
        <v>102</v>
      </c>
      <c r="C80" t="s">
        <v>103</v>
      </c>
      <c r="D80" t="s">
        <v>3133</v>
      </c>
      <c r="E80" t="s">
        <v>3134</v>
      </c>
      <c r="F80" t="s">
        <v>2961</v>
      </c>
      <c r="G80" t="s">
        <v>3135</v>
      </c>
    </row>
    <row r="81" spans="1:7" ht="11.25" customHeight="1">
      <c r="A81" s="309" t="s">
        <v>16</v>
      </c>
      <c r="B81" t="s">
        <v>102</v>
      </c>
      <c r="C81" t="s">
        <v>103</v>
      </c>
      <c r="D81" t="s">
        <v>3136</v>
      </c>
      <c r="E81" t="s">
        <v>3137</v>
      </c>
      <c r="F81" t="s">
        <v>2991</v>
      </c>
      <c r="G81" t="s">
        <v>3138</v>
      </c>
    </row>
    <row r="82" spans="1:7" ht="11.25" customHeight="1">
      <c r="A82" s="309" t="s">
        <v>16</v>
      </c>
      <c r="B82" t="s">
        <v>102</v>
      </c>
      <c r="C82" t="s">
        <v>103</v>
      </c>
      <c r="D82" t="s">
        <v>3139</v>
      </c>
      <c r="E82" t="s">
        <v>3140</v>
      </c>
      <c r="F82" t="s">
        <v>2961</v>
      </c>
      <c r="G82" t="s">
        <v>3141</v>
      </c>
    </row>
    <row r="83" spans="1:7" ht="11.25" customHeight="1">
      <c r="A83" s="309" t="s">
        <v>16</v>
      </c>
      <c r="B83" t="s">
        <v>102</v>
      </c>
      <c r="C83" t="s">
        <v>103</v>
      </c>
      <c r="D83" t="s">
        <v>3142</v>
      </c>
      <c r="E83" t="s">
        <v>3143</v>
      </c>
      <c r="F83" t="s">
        <v>2961</v>
      </c>
      <c r="G83" t="s">
        <v>3144</v>
      </c>
    </row>
    <row r="84" spans="1:7" ht="11.25" customHeight="1">
      <c r="A84" s="309" t="s">
        <v>16</v>
      </c>
      <c r="B84" t="s">
        <v>102</v>
      </c>
      <c r="C84" t="s">
        <v>103</v>
      </c>
      <c r="D84" t="s">
        <v>3145</v>
      </c>
      <c r="E84" t="s">
        <v>3146</v>
      </c>
      <c r="F84" t="s">
        <v>2961</v>
      </c>
      <c r="G84" t="s">
        <v>3147</v>
      </c>
    </row>
    <row r="85" spans="1:7" ht="11.25" customHeight="1">
      <c r="A85" s="309" t="s">
        <v>16</v>
      </c>
      <c r="B85" t="s">
        <v>102</v>
      </c>
      <c r="C85" t="s">
        <v>103</v>
      </c>
      <c r="D85" t="s">
        <v>3148</v>
      </c>
      <c r="E85" t="s">
        <v>3149</v>
      </c>
      <c r="F85" t="s">
        <v>2961</v>
      </c>
      <c r="G85" t="s">
        <v>3150</v>
      </c>
    </row>
    <row r="86" spans="1:7" ht="11.25" customHeight="1">
      <c r="A86" s="309" t="s">
        <v>16</v>
      </c>
      <c r="B86" t="s">
        <v>102</v>
      </c>
      <c r="C86" t="s">
        <v>103</v>
      </c>
      <c r="D86" t="s">
        <v>3151</v>
      </c>
      <c r="E86" t="s">
        <v>3152</v>
      </c>
      <c r="F86" t="s">
        <v>2961</v>
      </c>
      <c r="G86" t="s">
        <v>3153</v>
      </c>
    </row>
    <row r="87" spans="1:7" ht="11.25" customHeight="1">
      <c r="A87" s="309" t="s">
        <v>16</v>
      </c>
      <c r="B87" t="s">
        <v>102</v>
      </c>
      <c r="C87" t="s">
        <v>103</v>
      </c>
      <c r="D87" t="s">
        <v>3154</v>
      </c>
      <c r="E87" t="s">
        <v>3155</v>
      </c>
      <c r="F87" t="s">
        <v>2961</v>
      </c>
      <c r="G87" t="s">
        <v>3156</v>
      </c>
    </row>
    <row r="88" spans="1:7" ht="11.25" customHeight="1">
      <c r="A88" s="309" t="s">
        <v>16</v>
      </c>
      <c r="B88" t="s">
        <v>102</v>
      </c>
      <c r="C88" t="s">
        <v>103</v>
      </c>
      <c r="D88" t="s">
        <v>3157</v>
      </c>
      <c r="E88" t="s">
        <v>3158</v>
      </c>
      <c r="F88" t="s">
        <v>2961</v>
      </c>
      <c r="G88" t="s">
        <v>3159</v>
      </c>
    </row>
    <row r="89" spans="1:7" ht="11.25" customHeight="1">
      <c r="A89" s="309" t="s">
        <v>16</v>
      </c>
      <c r="B89" t="s">
        <v>102</v>
      </c>
      <c r="C89" t="s">
        <v>103</v>
      </c>
      <c r="D89" t="s">
        <v>3160</v>
      </c>
      <c r="E89" t="s">
        <v>3161</v>
      </c>
      <c r="F89" t="s">
        <v>2961</v>
      </c>
      <c r="G89" t="s">
        <v>3162</v>
      </c>
    </row>
    <row r="90" spans="1:7" ht="11.25" customHeight="1">
      <c r="A90" s="309" t="s">
        <v>16</v>
      </c>
      <c r="B90" t="s">
        <v>102</v>
      </c>
      <c r="C90" t="s">
        <v>103</v>
      </c>
      <c r="D90" t="s">
        <v>3163</v>
      </c>
      <c r="E90" t="s">
        <v>3164</v>
      </c>
      <c r="F90" t="s">
        <v>2961</v>
      </c>
      <c r="G90" t="s">
        <v>3165</v>
      </c>
    </row>
    <row r="91" spans="1:7" ht="11.25" customHeight="1">
      <c r="A91" s="309" t="s">
        <v>16</v>
      </c>
      <c r="B91" t="s">
        <v>102</v>
      </c>
      <c r="C91" t="s">
        <v>103</v>
      </c>
      <c r="D91" t="s">
        <v>3166</v>
      </c>
      <c r="E91" t="s">
        <v>3167</v>
      </c>
      <c r="F91" t="s">
        <v>2961</v>
      </c>
      <c r="G91" t="s">
        <v>3168</v>
      </c>
    </row>
    <row r="92" spans="1:7" ht="11.25" customHeight="1">
      <c r="A92" s="309" t="s">
        <v>16</v>
      </c>
      <c r="B92" t="s">
        <v>102</v>
      </c>
      <c r="C92" t="s">
        <v>103</v>
      </c>
      <c r="D92" t="s">
        <v>3169</v>
      </c>
      <c r="E92" t="s">
        <v>3170</v>
      </c>
      <c r="F92" t="s">
        <v>2961</v>
      </c>
      <c r="G92" t="s">
        <v>3171</v>
      </c>
    </row>
    <row r="93" spans="1:7" ht="11.25" customHeight="1">
      <c r="A93" s="309" t="s">
        <v>16</v>
      </c>
      <c r="B93" t="s">
        <v>102</v>
      </c>
      <c r="C93" t="s">
        <v>103</v>
      </c>
      <c r="D93" t="s">
        <v>3172</v>
      </c>
      <c r="E93" t="s">
        <v>3173</v>
      </c>
      <c r="F93" t="s">
        <v>2961</v>
      </c>
      <c r="G93" t="s">
        <v>3174</v>
      </c>
    </row>
    <row r="94" spans="1:7" ht="11.25" customHeight="1">
      <c r="A94" s="309" t="s">
        <v>16</v>
      </c>
      <c r="B94" t="s">
        <v>102</v>
      </c>
      <c r="C94" t="s">
        <v>103</v>
      </c>
      <c r="D94" t="s">
        <v>3175</v>
      </c>
      <c r="E94" t="s">
        <v>3176</v>
      </c>
      <c r="F94" t="s">
        <v>2961</v>
      </c>
      <c r="G94" t="s">
        <v>3177</v>
      </c>
    </row>
    <row r="95" spans="1:7" ht="11.25" customHeight="1">
      <c r="A95" s="309" t="s">
        <v>16</v>
      </c>
      <c r="B95" t="s">
        <v>102</v>
      </c>
      <c r="C95" t="s">
        <v>103</v>
      </c>
      <c r="D95" t="s">
        <v>3178</v>
      </c>
      <c r="E95" t="s">
        <v>3179</v>
      </c>
      <c r="F95" t="s">
        <v>2961</v>
      </c>
      <c r="G95" t="s">
        <v>3180</v>
      </c>
    </row>
    <row r="96" spans="1:7" ht="11.25" customHeight="1">
      <c r="A96" s="309" t="s">
        <v>16</v>
      </c>
      <c r="B96" t="s">
        <v>102</v>
      </c>
      <c r="C96" t="s">
        <v>103</v>
      </c>
      <c r="D96" t="s">
        <v>3181</v>
      </c>
      <c r="E96" t="s">
        <v>3182</v>
      </c>
      <c r="F96" t="s">
        <v>2961</v>
      </c>
      <c r="G96" t="s">
        <v>3183</v>
      </c>
    </row>
    <row r="97" spans="1:7" ht="11.25" customHeight="1">
      <c r="A97" s="309" t="s">
        <v>16</v>
      </c>
      <c r="B97" t="s">
        <v>102</v>
      </c>
      <c r="C97" t="s">
        <v>103</v>
      </c>
      <c r="D97" t="s">
        <v>3184</v>
      </c>
      <c r="E97" t="s">
        <v>3185</v>
      </c>
      <c r="F97" t="s">
        <v>2961</v>
      </c>
      <c r="G97" t="s">
        <v>3186</v>
      </c>
    </row>
    <row r="98" spans="1:7" ht="11.25" customHeight="1">
      <c r="A98" s="309" t="s">
        <v>16</v>
      </c>
      <c r="B98" t="s">
        <v>102</v>
      </c>
      <c r="C98" t="s">
        <v>103</v>
      </c>
      <c r="D98" t="s">
        <v>3187</v>
      </c>
      <c r="E98" t="s">
        <v>3188</v>
      </c>
      <c r="F98" t="s">
        <v>2961</v>
      </c>
      <c r="G98" t="s">
        <v>3189</v>
      </c>
    </row>
    <row r="99" spans="1:7" ht="11.25" customHeight="1">
      <c r="A99" s="309" t="s">
        <v>16</v>
      </c>
      <c r="B99" t="s">
        <v>102</v>
      </c>
      <c r="C99" t="s">
        <v>103</v>
      </c>
      <c r="D99" t="s">
        <v>3190</v>
      </c>
      <c r="E99" t="s">
        <v>3191</v>
      </c>
      <c r="F99" t="s">
        <v>2961</v>
      </c>
      <c r="G99" t="s">
        <v>3192</v>
      </c>
    </row>
    <row r="100" spans="1:7" ht="11.25" customHeight="1">
      <c r="A100" s="309" t="s">
        <v>16</v>
      </c>
      <c r="B100" t="s">
        <v>102</v>
      </c>
      <c r="C100" t="s">
        <v>103</v>
      </c>
      <c r="D100" t="s">
        <v>3193</v>
      </c>
      <c r="E100" t="s">
        <v>3194</v>
      </c>
      <c r="F100" t="s">
        <v>2961</v>
      </c>
      <c r="G100" t="s">
        <v>3195</v>
      </c>
    </row>
    <row r="101" spans="1:7" ht="11.25" customHeight="1">
      <c r="A101" s="309" t="s">
        <v>16</v>
      </c>
      <c r="B101" t="s">
        <v>102</v>
      </c>
      <c r="C101" t="s">
        <v>103</v>
      </c>
      <c r="D101" t="s">
        <v>3196</v>
      </c>
      <c r="E101" t="s">
        <v>3197</v>
      </c>
      <c r="F101" t="s">
        <v>2961</v>
      </c>
      <c r="G101" t="s">
        <v>3198</v>
      </c>
    </row>
    <row r="102" spans="1:7" ht="11.25" customHeight="1">
      <c r="A102" s="309" t="s">
        <v>16</v>
      </c>
      <c r="B102" t="s">
        <v>102</v>
      </c>
      <c r="C102" t="s">
        <v>103</v>
      </c>
      <c r="D102" t="s">
        <v>3199</v>
      </c>
      <c r="E102" t="s">
        <v>3200</v>
      </c>
      <c r="F102" t="s">
        <v>2961</v>
      </c>
      <c r="G102" t="s">
        <v>3201</v>
      </c>
    </row>
    <row r="103" spans="1:7" ht="11.25" customHeight="1">
      <c r="A103" s="309" t="s">
        <v>16</v>
      </c>
      <c r="B103" t="s">
        <v>102</v>
      </c>
      <c r="C103" t="s">
        <v>103</v>
      </c>
      <c r="D103" t="s">
        <v>3202</v>
      </c>
      <c r="E103" t="s">
        <v>3203</v>
      </c>
      <c r="F103" t="s">
        <v>2961</v>
      </c>
      <c r="G103" t="s">
        <v>3204</v>
      </c>
    </row>
    <row r="104" spans="1:7" ht="11.25" customHeight="1">
      <c r="A104" s="309" t="s">
        <v>16</v>
      </c>
      <c r="B104" t="s">
        <v>102</v>
      </c>
      <c r="C104" t="s">
        <v>103</v>
      </c>
      <c r="D104" t="s">
        <v>3205</v>
      </c>
      <c r="E104" t="s">
        <v>3206</v>
      </c>
      <c r="F104" t="s">
        <v>2961</v>
      </c>
      <c r="G104" t="s">
        <v>3207</v>
      </c>
    </row>
    <row r="105" spans="1:7" ht="11.25" customHeight="1">
      <c r="A105" s="309" t="s">
        <v>16</v>
      </c>
      <c r="B105" t="s">
        <v>102</v>
      </c>
      <c r="C105" t="s">
        <v>103</v>
      </c>
      <c r="D105" t="s">
        <v>3208</v>
      </c>
      <c r="E105" t="s">
        <v>3209</v>
      </c>
      <c r="F105" t="s">
        <v>2961</v>
      </c>
      <c r="G105" t="s">
        <v>3210</v>
      </c>
    </row>
    <row r="106" spans="1:7" ht="11.25" customHeight="1">
      <c r="A106" s="309" t="s">
        <v>16</v>
      </c>
      <c r="B106" t="s">
        <v>102</v>
      </c>
      <c r="C106" t="s">
        <v>103</v>
      </c>
      <c r="D106" t="s">
        <v>3211</v>
      </c>
      <c r="E106" t="s">
        <v>3212</v>
      </c>
      <c r="F106" t="s">
        <v>2961</v>
      </c>
      <c r="G106" t="s">
        <v>3213</v>
      </c>
    </row>
    <row r="107" spans="1:7" ht="11.25" customHeight="1">
      <c r="A107" s="309" t="s">
        <v>16</v>
      </c>
      <c r="B107" t="s">
        <v>102</v>
      </c>
      <c r="C107" t="s">
        <v>103</v>
      </c>
      <c r="D107" t="s">
        <v>3214</v>
      </c>
      <c r="E107" t="s">
        <v>3215</v>
      </c>
      <c r="F107" t="s">
        <v>2961</v>
      </c>
      <c r="G107" t="s">
        <v>3216</v>
      </c>
    </row>
    <row r="108" spans="1:7" ht="11.25" customHeight="1">
      <c r="A108" s="309" t="s">
        <v>16</v>
      </c>
      <c r="B108" t="s">
        <v>102</v>
      </c>
      <c r="C108" t="s">
        <v>103</v>
      </c>
      <c r="D108" t="s">
        <v>3217</v>
      </c>
      <c r="E108" t="s">
        <v>3218</v>
      </c>
      <c r="F108" t="s">
        <v>2961</v>
      </c>
      <c r="G108" t="s">
        <v>3219</v>
      </c>
    </row>
    <row r="109" spans="1:7" ht="11.25" customHeight="1">
      <c r="A109" s="309" t="s">
        <v>16</v>
      </c>
      <c r="B109" t="s">
        <v>102</v>
      </c>
      <c r="C109" t="s">
        <v>103</v>
      </c>
      <c r="D109" t="s">
        <v>3220</v>
      </c>
      <c r="E109" t="s">
        <v>3221</v>
      </c>
      <c r="F109" t="s">
        <v>2961</v>
      </c>
      <c r="G109" t="s">
        <v>3222</v>
      </c>
    </row>
    <row r="110" spans="1:7" ht="11.25" customHeight="1">
      <c r="A110" s="309" t="s">
        <v>16</v>
      </c>
      <c r="B110" t="s">
        <v>102</v>
      </c>
      <c r="C110" t="s">
        <v>103</v>
      </c>
      <c r="D110" t="s">
        <v>3223</v>
      </c>
      <c r="E110" t="s">
        <v>3224</v>
      </c>
      <c r="F110" t="s">
        <v>2961</v>
      </c>
      <c r="G110" t="s">
        <v>3225</v>
      </c>
    </row>
    <row r="111" spans="1:7" ht="11.25" customHeight="1">
      <c r="A111" s="309" t="s">
        <v>16</v>
      </c>
      <c r="B111" t="s">
        <v>102</v>
      </c>
      <c r="C111" t="s">
        <v>103</v>
      </c>
      <c r="D111" t="s">
        <v>3226</v>
      </c>
      <c r="E111" t="s">
        <v>3227</v>
      </c>
      <c r="F111" t="s">
        <v>2961</v>
      </c>
      <c r="G111" t="s">
        <v>3228</v>
      </c>
    </row>
    <row r="112" spans="1:7" ht="11.25" customHeight="1">
      <c r="A112" s="309" t="s">
        <v>16</v>
      </c>
      <c r="B112" t="s">
        <v>102</v>
      </c>
      <c r="C112" t="s">
        <v>103</v>
      </c>
      <c r="D112" t="s">
        <v>3229</v>
      </c>
      <c r="E112" t="s">
        <v>3230</v>
      </c>
      <c r="F112" t="s">
        <v>2961</v>
      </c>
      <c r="G112" t="s">
        <v>3231</v>
      </c>
    </row>
    <row r="113" spans="1:7" ht="11.25" customHeight="1">
      <c r="A113" s="309" t="s">
        <v>16</v>
      </c>
      <c r="B113" t="s">
        <v>102</v>
      </c>
      <c r="C113" t="s">
        <v>103</v>
      </c>
      <c r="D113" t="s">
        <v>3232</v>
      </c>
      <c r="E113" t="s">
        <v>3233</v>
      </c>
      <c r="F113" t="s">
        <v>2991</v>
      </c>
      <c r="G113" t="s">
        <v>3234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2"/>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3235</v>
      </c>
      <c r="B1" s="765" t="s">
        <v>3236</v>
      </c>
      <c r="C1" s="1085" t="s">
        <v>3237</v>
      </c>
      <c r="D1" s="765" t="s">
        <v>3238</v>
      </c>
      <c r="E1" s="765" t="s">
        <v>3239</v>
      </c>
      <c r="F1" s="1085" t="s">
        <v>3240</v>
      </c>
      <c r="G1" s="1085" t="s">
        <v>3241</v>
      </c>
      <c r="H1" s="1085" t="s">
        <v>3242</v>
      </c>
      <c r="I1" s="1085" t="s">
        <v>3243</v>
      </c>
    </row>
    <row r="2" spans="1:9" ht="11.25" customHeight="1">
      <c r="A2" s="1617" t="s">
        <v>111</v>
      </c>
      <c r="B2" s="1617" t="s">
        <v>3244</v>
      </c>
      <c r="C2" s="1617" t="s">
        <v>28</v>
      </c>
      <c r="D2" s="1617" t="s">
        <v>3245</v>
      </c>
      <c r="E2" s="1617" t="s">
        <v>3246</v>
      </c>
      <c r="F2" s="1617" t="s">
        <v>28</v>
      </c>
      <c r="G2" s="1617" t="s">
        <v>28</v>
      </c>
      <c r="H2" s="1617" t="s">
        <v>28</v>
      </c>
      <c r="I2" s="1617" t="s">
        <v>28</v>
      </c>
    </row>
    <row r="3" spans="1:9" ht="11.25" customHeight="1">
      <c r="A3" s="1617" t="s">
        <v>112</v>
      </c>
      <c r="B3" s="1617" t="s">
        <v>3247</v>
      </c>
      <c r="C3" s="1617" t="s">
        <v>28</v>
      </c>
      <c r="D3" s="1617" t="s">
        <v>3245</v>
      </c>
      <c r="E3" s="1617" t="s">
        <v>3248</v>
      </c>
      <c r="F3" s="1617" t="s">
        <v>28</v>
      </c>
      <c r="G3" s="1617" t="s">
        <v>28</v>
      </c>
      <c r="H3" s="1617" t="s">
        <v>28</v>
      </c>
      <c r="I3" s="1617" t="s">
        <v>28</v>
      </c>
    </row>
    <row r="4" spans="1:9" ht="11.25" customHeight="1">
      <c r="A4" s="1617" t="s">
        <v>92</v>
      </c>
      <c r="B4" s="1617" t="s">
        <v>3249</v>
      </c>
      <c r="C4" s="1617" t="s">
        <v>28</v>
      </c>
      <c r="D4" s="1617" t="s">
        <v>3250</v>
      </c>
      <c r="E4" s="1617" t="s">
        <v>3248</v>
      </c>
      <c r="F4" s="1617" t="s">
        <v>28</v>
      </c>
      <c r="G4" s="1617" t="s">
        <v>28</v>
      </c>
      <c r="H4" s="1617" t="s">
        <v>28</v>
      </c>
      <c r="I4" s="1617" t="s">
        <v>28</v>
      </c>
    </row>
    <row r="5" spans="1:9" ht="11.25" customHeight="1">
      <c r="A5" s="1617" t="s">
        <v>93</v>
      </c>
      <c r="B5" s="1617" t="s">
        <v>3251</v>
      </c>
      <c r="C5" s="1617" t="s">
        <v>28</v>
      </c>
      <c r="D5" s="1617" t="s">
        <v>3252</v>
      </c>
      <c r="E5" s="1617" t="s">
        <v>3253</v>
      </c>
      <c r="F5" s="1617" t="s">
        <v>28</v>
      </c>
      <c r="G5" s="1617" t="s">
        <v>28</v>
      </c>
      <c r="H5" s="1617" t="s">
        <v>28</v>
      </c>
      <c r="I5" s="1617" t="s">
        <v>28</v>
      </c>
    </row>
    <row r="6" spans="1:9" ht="11.25" customHeight="1">
      <c r="A6" s="1617" t="s">
        <v>113</v>
      </c>
      <c r="B6" s="1617" t="s">
        <v>3254</v>
      </c>
      <c r="C6" s="1617" t="s">
        <v>28</v>
      </c>
      <c r="D6" s="1617" t="s">
        <v>3245</v>
      </c>
      <c r="E6" s="1617" t="s">
        <v>3255</v>
      </c>
      <c r="F6" s="1617" t="s">
        <v>28</v>
      </c>
      <c r="G6" s="1617" t="s">
        <v>28</v>
      </c>
      <c r="H6" s="1617" t="s">
        <v>28</v>
      </c>
      <c r="I6" s="1617" t="s">
        <v>28</v>
      </c>
    </row>
    <row r="7" spans="1:9" ht="11.25" customHeight="1">
      <c r="A7" s="1617" t="s">
        <v>94</v>
      </c>
      <c r="B7" s="1617" t="s">
        <v>3256</v>
      </c>
      <c r="C7" s="1617" t="s">
        <v>28</v>
      </c>
      <c r="D7" s="1617" t="s">
        <v>3245</v>
      </c>
      <c r="E7" s="1617" t="s">
        <v>3257</v>
      </c>
      <c r="F7" s="1617" t="s">
        <v>28</v>
      </c>
      <c r="G7" s="1617" t="s">
        <v>28</v>
      </c>
      <c r="H7" s="1617" t="s">
        <v>28</v>
      </c>
      <c r="I7" s="1617" t="s">
        <v>28</v>
      </c>
    </row>
    <row r="8" spans="1:9" ht="11.25" customHeight="1">
      <c r="A8" s="1617" t="s">
        <v>95</v>
      </c>
      <c r="B8" s="1617" t="s">
        <v>3258</v>
      </c>
      <c r="C8" s="1617" t="s">
        <v>28</v>
      </c>
      <c r="D8" s="1617" t="s">
        <v>3245</v>
      </c>
      <c r="E8" s="1617" t="s">
        <v>3257</v>
      </c>
      <c r="F8" s="1617" t="s">
        <v>28</v>
      </c>
      <c r="G8" s="1617" t="s">
        <v>28</v>
      </c>
      <c r="H8" s="1617" t="s">
        <v>28</v>
      </c>
      <c r="I8" s="1617" t="s">
        <v>28</v>
      </c>
    </row>
    <row r="9" spans="1:9" ht="11.25" customHeight="1">
      <c r="A9" s="1617" t="s">
        <v>114</v>
      </c>
      <c r="B9" s="1617" t="s">
        <v>3259</v>
      </c>
      <c r="C9" s="1617" t="s">
        <v>28</v>
      </c>
      <c r="D9" s="1617" t="s">
        <v>3245</v>
      </c>
      <c r="E9" s="1617" t="s">
        <v>3257</v>
      </c>
      <c r="F9" s="1617" t="s">
        <v>28</v>
      </c>
      <c r="G9" s="1617" t="s">
        <v>28</v>
      </c>
      <c r="H9" s="1617" t="s">
        <v>28</v>
      </c>
      <c r="I9" s="1617" t="s">
        <v>28</v>
      </c>
    </row>
    <row r="10" spans="1:9" ht="11.25" customHeight="1">
      <c r="A10" s="1617" t="s">
        <v>101</v>
      </c>
      <c r="B10" s="1617" t="s">
        <v>3260</v>
      </c>
      <c r="C10" s="1617" t="s">
        <v>28</v>
      </c>
      <c r="D10" s="1617" t="s">
        <v>3245</v>
      </c>
      <c r="E10" s="1617" t="s">
        <v>3257</v>
      </c>
      <c r="F10" s="1617" t="s">
        <v>28</v>
      </c>
      <c r="G10" s="1617" t="s">
        <v>28</v>
      </c>
      <c r="H10" s="1617" t="s">
        <v>28</v>
      </c>
      <c r="I10" s="1617" t="s">
        <v>28</v>
      </c>
    </row>
    <row r="11" spans="1:9" ht="11.25" customHeight="1">
      <c r="A11" s="1617" t="s">
        <v>150</v>
      </c>
      <c r="B11" s="1617" t="s">
        <v>3261</v>
      </c>
      <c r="C11" s="1617" t="s">
        <v>28</v>
      </c>
      <c r="D11" s="1617" t="s">
        <v>3245</v>
      </c>
      <c r="E11" s="1617" t="s">
        <v>3257</v>
      </c>
      <c r="F11" s="1617" t="s">
        <v>28</v>
      </c>
      <c r="G11" s="1617" t="s">
        <v>28</v>
      </c>
      <c r="H11" s="1617" t="s">
        <v>28</v>
      </c>
      <c r="I11" s="1617" t="s">
        <v>28</v>
      </c>
    </row>
    <row r="12" spans="1:9" ht="11.25" customHeight="1">
      <c r="A12" s="1617" t="s">
        <v>151</v>
      </c>
      <c r="B12" s="1617" t="s">
        <v>3262</v>
      </c>
      <c r="C12" s="1617" t="s">
        <v>28</v>
      </c>
      <c r="D12" s="1617" t="s">
        <v>3245</v>
      </c>
      <c r="E12" s="1617" t="s">
        <v>3257</v>
      </c>
      <c r="F12" s="1617" t="s">
        <v>28</v>
      </c>
      <c r="G12" s="1617" t="s">
        <v>28</v>
      </c>
      <c r="H12" s="1617" t="s">
        <v>28</v>
      </c>
      <c r="I12"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5356" t="s">
        <v>379</v>
      </c>
      <c r="I1" s="5356"/>
      <c r="J1" s="5356"/>
      <c r="K1" s="5356"/>
      <c r="L1" s="5356"/>
      <c r="M1" s="5356"/>
      <c r="N1" s="5356"/>
      <c r="O1" s="5356"/>
      <c r="P1" s="5356"/>
      <c r="Q1" s="5356"/>
      <c r="R1" s="5356"/>
      <c r="T1" s="5356" t="s">
        <v>380</v>
      </c>
      <c r="U1" s="5356"/>
      <c r="V1" s="5356"/>
      <c r="X1" s="5356" t="s">
        <v>381</v>
      </c>
      <c r="Y1" s="5356"/>
      <c r="Z1" s="5356"/>
      <c r="AB1" s="5356" t="s">
        <v>382</v>
      </c>
      <c r="AC1" s="5356"/>
      <c r="AT1" s="383" t="s">
        <v>14</v>
      </c>
    </row>
    <row r="2" spans="1:46" ht="14.25" hidden="1" customHeight="1">
      <c r="AT2" s="383">
        <v>0</v>
      </c>
    </row>
    <row r="3" spans="1:46" s="1539" customFormat="1" ht="5.25" customHeight="1">
      <c r="C3" s="637"/>
      <c r="D3" s="638"/>
      <c r="E3" s="638"/>
      <c r="F3" s="638"/>
      <c r="G3" s="638"/>
      <c r="H3" s="638" t="s">
        <v>383</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529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5291"/>
      <c r="F4" s="5291"/>
      <c r="G4" s="5291"/>
      <c r="H4" s="5291"/>
      <c r="I4" s="5291"/>
      <c r="J4" s="5291"/>
      <c r="K4" s="5291"/>
      <c r="L4" s="5291"/>
      <c r="M4" s="5291"/>
      <c r="N4" s="5291"/>
      <c r="O4" s="5291"/>
      <c r="P4" s="5291"/>
      <c r="Q4" s="5291"/>
      <c r="R4" s="5292"/>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5353" t="str">
        <f>IF(org=0,"Не определено",org)</f>
        <v>ПАО "ТГК-1" филиал "Невский"</v>
      </c>
      <c r="E5" s="5354"/>
      <c r="F5" s="5354"/>
      <c r="G5" s="5354"/>
      <c r="H5" s="5354"/>
      <c r="I5" s="5354"/>
      <c r="J5" s="5354"/>
      <c r="K5" s="5354"/>
      <c r="L5" s="5354"/>
      <c r="M5" s="5354"/>
      <c r="N5" s="5354"/>
      <c r="O5" s="5354"/>
      <c r="P5" s="5354"/>
      <c r="Q5" s="5354"/>
      <c r="R5" s="5355"/>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5344" t="s">
        <v>327</v>
      </c>
      <c r="E7" s="5357"/>
      <c r="F7" s="5357"/>
      <c r="G7" s="5357"/>
      <c r="H7" s="5357"/>
      <c r="I7" s="5357"/>
      <c r="J7" s="5357"/>
      <c r="K7" s="5357"/>
      <c r="L7" s="5357"/>
      <c r="M7" s="5357"/>
      <c r="N7" s="5357"/>
      <c r="O7" s="5357"/>
      <c r="P7" s="5357"/>
      <c r="Q7" s="5357"/>
      <c r="R7" s="5357"/>
      <c r="S7" s="5357"/>
      <c r="T7" s="5357"/>
      <c r="U7" s="5357"/>
      <c r="V7" s="5357"/>
      <c r="W7" s="5357"/>
      <c r="X7" s="5357"/>
      <c r="Y7" s="5357"/>
      <c r="Z7" s="5357"/>
      <c r="AA7" s="5357"/>
      <c r="AB7" s="5357"/>
      <c r="AC7" s="5357"/>
      <c r="AD7" s="5358"/>
      <c r="AE7" s="5300" t="s">
        <v>328</v>
      </c>
      <c r="AF7" s="5300" t="s">
        <v>328</v>
      </c>
      <c r="AG7" s="5300" t="s">
        <v>328</v>
      </c>
      <c r="AH7" s="5300" t="s">
        <v>328</v>
      </c>
      <c r="AT7" s="383">
        <v>14</v>
      </c>
    </row>
    <row r="8" spans="1:46" ht="27.4" customHeight="1">
      <c r="C8" s="386"/>
      <c r="D8" s="5235" t="s">
        <v>90</v>
      </c>
      <c r="E8" s="5300" t="str">
        <f>"Наименование "&amp;IF(TEMPLATE_SPHERE&lt;&gt;"HEAT","централизованной ","")&amp;"системы "&amp;TEMPLATE_SPHERE_RUS</f>
        <v>Наименование системы теплоснабжения</v>
      </c>
      <c r="F8" s="5300" t="str">
        <f>IF(TEMPLATE_SPHERE&lt;&gt;"HEAT","Регулируемый вид деятельности","Вид регулируемой деятельности")</f>
        <v>Вид регулируемой деятельности</v>
      </c>
      <c r="G8" s="758"/>
      <c r="H8" s="5345" t="s">
        <v>384</v>
      </c>
      <c r="I8" s="5349" t="s">
        <v>385</v>
      </c>
      <c r="J8" s="5300" t="s">
        <v>386</v>
      </c>
      <c r="K8" s="5300"/>
      <c r="L8" s="5300"/>
      <c r="M8" s="5344"/>
      <c r="N8" s="5300" t="s">
        <v>387</v>
      </c>
      <c r="O8" s="5300"/>
      <c r="P8" s="5300" t="s">
        <v>388</v>
      </c>
      <c r="Q8" s="5300"/>
      <c r="R8" s="5347" t="s">
        <v>389</v>
      </c>
      <c r="S8" s="754"/>
      <c r="T8" s="5345" t="s">
        <v>390</v>
      </c>
      <c r="U8" s="5345" t="s">
        <v>391</v>
      </c>
      <c r="V8" s="5345" t="s">
        <v>392</v>
      </c>
      <c r="W8" s="756"/>
      <c r="X8" s="5345" t="s">
        <v>393</v>
      </c>
      <c r="Y8" s="5345" t="s">
        <v>394</v>
      </c>
      <c r="Z8" s="5345" t="s">
        <v>395</v>
      </c>
      <c r="AA8" s="756"/>
      <c r="AB8" s="5345" t="s">
        <v>396</v>
      </c>
      <c r="AC8" s="5345" t="s">
        <v>389</v>
      </c>
      <c r="AD8" s="756"/>
      <c r="AE8" s="5300"/>
      <c r="AF8" s="5300"/>
      <c r="AG8" s="5300"/>
      <c r="AH8" s="5300"/>
      <c r="AT8" s="383">
        <v>26</v>
      </c>
    </row>
    <row r="9" spans="1:46" ht="46.15" customHeight="1">
      <c r="C9" s="386"/>
      <c r="D9" s="5235"/>
      <c r="E9" s="5300"/>
      <c r="F9" s="5300"/>
      <c r="G9" s="759"/>
      <c r="H9" s="5346"/>
      <c r="I9" s="5350"/>
      <c r="J9" s="361" t="s">
        <v>397</v>
      </c>
      <c r="K9" s="361" t="s">
        <v>398</v>
      </c>
      <c r="L9" s="361" t="s">
        <v>399</v>
      </c>
      <c r="M9" s="367" t="s">
        <v>400</v>
      </c>
      <c r="N9" s="361" t="s">
        <v>401</v>
      </c>
      <c r="O9" s="361" t="s">
        <v>400</v>
      </c>
      <c r="P9" s="361" t="s">
        <v>402</v>
      </c>
      <c r="Q9" s="361" t="s">
        <v>400</v>
      </c>
      <c r="R9" s="5348"/>
      <c r="S9" s="755"/>
      <c r="T9" s="5346"/>
      <c r="U9" s="5346"/>
      <c r="V9" s="5346"/>
      <c r="W9" s="757"/>
      <c r="X9" s="5346"/>
      <c r="Y9" s="5346"/>
      <c r="Z9" s="5346"/>
      <c r="AA9" s="757"/>
      <c r="AB9" s="5346"/>
      <c r="AC9" s="5346"/>
      <c r="AD9" s="757"/>
      <c r="AE9" s="5300"/>
      <c r="AF9" s="5300"/>
      <c r="AG9" s="5300"/>
      <c r="AH9" s="5300"/>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403</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702" t="s">
        <v>28</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5351" t="s">
        <v>404</v>
      </c>
      <c r="AF12" s="5351" t="s">
        <v>405</v>
      </c>
      <c r="AG12" s="5351" t="s">
        <v>406</v>
      </c>
      <c r="AH12" s="5351" t="s">
        <v>407</v>
      </c>
      <c r="AI12" s="383"/>
      <c r="AM12" s="447"/>
      <c r="AP12" s="436" t="s">
        <v>408</v>
      </c>
      <c r="AQ12" s="436" t="s">
        <v>408</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5352"/>
      <c r="AF13" s="5352"/>
      <c r="AG13" s="5352"/>
      <c r="AH13" s="5352"/>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3263</v>
      </c>
    </row>
    <row r="2" spans="1:2" ht="11.25" customHeight="1">
      <c r="A2" s="4" t="s">
        <v>100</v>
      </c>
      <c r="B2" s="4" t="s">
        <v>3264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3265</v>
      </c>
      <c r="B1" s="765" t="s">
        <v>3266</v>
      </c>
    </row>
    <row r="2" spans="1:2" ht="11.25" customHeight="1">
      <c r="A2" s="765">
        <v>4213775</v>
      </c>
      <c r="B2" s="765" t="s">
        <v>1258</v>
      </c>
    </row>
    <row r="3" spans="1:2" ht="11.25" customHeight="1">
      <c r="A3" s="765">
        <v>4213784</v>
      </c>
      <c r="B3" s="765" t="s">
        <v>1290</v>
      </c>
    </row>
    <row r="4" spans="1:2" ht="11.25" customHeight="1">
      <c r="A4" s="765">
        <v>4213781</v>
      </c>
      <c r="B4" s="765" t="s">
        <v>1283</v>
      </c>
    </row>
    <row r="5" spans="1:2" ht="11.25" customHeight="1">
      <c r="A5" s="765">
        <v>4213776</v>
      </c>
      <c r="B5" s="765" t="s">
        <v>189</v>
      </c>
    </row>
    <row r="6" spans="1:2" ht="11.25" customHeight="1">
      <c r="A6" s="765">
        <v>4213777</v>
      </c>
      <c r="B6" s="765" t="s">
        <v>197</v>
      </c>
    </row>
    <row r="7" spans="1:2" ht="11.25" customHeight="1">
      <c r="A7" s="765">
        <v>4213778</v>
      </c>
      <c r="B7" s="765" t="s">
        <v>205</v>
      </c>
    </row>
    <row r="8" spans="1:2" ht="11.25" customHeight="1">
      <c r="A8" s="765">
        <v>4213780</v>
      </c>
      <c r="B8" s="765" t="s">
        <v>211</v>
      </c>
    </row>
    <row r="9" spans="1:2" ht="11.25" customHeight="1">
      <c r="A9" s="765">
        <v>4213779</v>
      </c>
      <c r="B9" s="765" t="s">
        <v>1422</v>
      </c>
    </row>
    <row r="10" spans="1:2" ht="11.25" customHeight="1">
      <c r="A10" s="765">
        <v>4213783</v>
      </c>
      <c r="B10" s="765" t="s">
        <v>1436</v>
      </c>
    </row>
    <row r="11" spans="1:2" ht="11.25" customHeight="1">
      <c r="A11" s="765">
        <v>4213782</v>
      </c>
      <c r="B11" s="765" t="s">
        <v>217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3265</v>
      </c>
      <c r="B1" s="765" t="s">
        <v>3267</v>
      </c>
    </row>
    <row r="2" spans="1:2" ht="11.25" customHeight="1">
      <c r="A2" s="765" t="s">
        <v>3268</v>
      </c>
      <c r="B2" s="765" t="s">
        <v>1533</v>
      </c>
    </row>
    <row r="3" spans="1:2" ht="11.25" customHeight="1">
      <c r="A3" s="765" t="s">
        <v>3269</v>
      </c>
      <c r="B3" s="765" t="s">
        <v>1543</v>
      </c>
    </row>
    <row r="4" spans="1:2" ht="11.25" customHeight="1">
      <c r="A4" s="765" t="s">
        <v>3270</v>
      </c>
      <c r="B4" s="765" t="s">
        <v>1552</v>
      </c>
    </row>
    <row r="5" spans="1:2" ht="11.25" customHeight="1">
      <c r="A5" s="765" t="s">
        <v>3271</v>
      </c>
      <c r="B5" s="765" t="s">
        <v>1561</v>
      </c>
    </row>
    <row r="6" spans="1:2" ht="11.25" customHeight="1">
      <c r="A6" s="765" t="s">
        <v>3272</v>
      </c>
      <c r="B6" s="765" t="s">
        <v>1567</v>
      </c>
    </row>
    <row r="7" spans="1:2" ht="11.25" customHeight="1">
      <c r="A7" s="765" t="s">
        <v>3273</v>
      </c>
      <c r="B7" s="765" t="s">
        <v>1575</v>
      </c>
    </row>
    <row r="8" spans="1:2" ht="11.25" customHeight="1">
      <c r="A8" s="765" t="s">
        <v>3274</v>
      </c>
      <c r="B8" s="765" t="s">
        <v>1582</v>
      </c>
    </row>
    <row r="9" spans="1:2" ht="11.25" customHeight="1">
      <c r="A9" s="765" t="s">
        <v>3275</v>
      </c>
      <c r="B9" s="765" t="s">
        <v>1588</v>
      </c>
    </row>
    <row r="10" spans="1:2" ht="11.25" customHeight="1">
      <c r="A10" s="765" t="s">
        <v>3276</v>
      </c>
      <c r="B10" s="765" t="s">
        <v>1592</v>
      </c>
    </row>
    <row r="11" spans="1:2" ht="11.25" customHeight="1">
      <c r="A11" s="765" t="s">
        <v>3277</v>
      </c>
      <c r="B11" s="765" t="s">
        <v>1599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13"/>
  <sheetViews>
    <sheetView showGridLines="0" workbookViewId="0"/>
  </sheetViews>
  <sheetFormatPr defaultRowHeight="11.25" customHeight="1"/>
  <sheetData>
    <row r="1" spans="1:7" ht="11.25" customHeight="1">
      <c r="A1" s="309" t="s">
        <v>2952</v>
      </c>
      <c r="B1" s="309" t="s">
        <v>2953</v>
      </c>
      <c r="C1" s="309" t="s">
        <v>2954</v>
      </c>
      <c r="D1" s="309" t="s">
        <v>2955</v>
      </c>
      <c r="E1" t="s">
        <v>2956</v>
      </c>
      <c r="F1" t="s">
        <v>2957</v>
      </c>
      <c r="G1" t="s">
        <v>2958</v>
      </c>
    </row>
    <row r="2" spans="1:7" ht="11.25" customHeight="1">
      <c r="A2" t="s">
        <v>16</v>
      </c>
      <c r="B2" t="s">
        <v>102</v>
      </c>
      <c r="C2" t="s">
        <v>103</v>
      </c>
      <c r="D2" t="s">
        <v>2959</v>
      </c>
      <c r="E2" t="s">
        <v>2960</v>
      </c>
      <c r="F2" t="s">
        <v>2961</v>
      </c>
      <c r="G2" t="s">
        <v>111</v>
      </c>
    </row>
    <row r="3" spans="1:7" ht="11.25" customHeight="1">
      <c r="A3" t="s">
        <v>16</v>
      </c>
      <c r="B3" t="s">
        <v>102</v>
      </c>
      <c r="C3" t="s">
        <v>103</v>
      </c>
      <c r="D3" t="s">
        <v>2962</v>
      </c>
      <c r="E3" t="s">
        <v>2963</v>
      </c>
      <c r="F3" t="s">
        <v>2961</v>
      </c>
      <c r="G3" t="s">
        <v>112</v>
      </c>
    </row>
    <row r="4" spans="1:7" ht="11.25" customHeight="1">
      <c r="A4" t="s">
        <v>16</v>
      </c>
      <c r="B4" t="s">
        <v>102</v>
      </c>
      <c r="C4" t="s">
        <v>103</v>
      </c>
      <c r="D4" t="s">
        <v>2964</v>
      </c>
      <c r="E4" t="s">
        <v>2965</v>
      </c>
      <c r="F4" t="s">
        <v>2961</v>
      </c>
      <c r="G4" t="s">
        <v>92</v>
      </c>
    </row>
    <row r="5" spans="1:7" ht="11.25" customHeight="1">
      <c r="A5" t="s">
        <v>16</v>
      </c>
      <c r="B5" t="s">
        <v>102</v>
      </c>
      <c r="C5" t="s">
        <v>103</v>
      </c>
      <c r="D5" t="s">
        <v>2966</v>
      </c>
      <c r="E5" t="s">
        <v>2967</v>
      </c>
      <c r="F5" t="s">
        <v>2961</v>
      </c>
      <c r="G5" t="s">
        <v>93</v>
      </c>
    </row>
    <row r="6" spans="1:7" ht="11.25" customHeight="1">
      <c r="A6" t="s">
        <v>16</v>
      </c>
      <c r="B6" t="s">
        <v>102</v>
      </c>
      <c r="C6" t="s">
        <v>103</v>
      </c>
      <c r="D6" t="s">
        <v>2968</v>
      </c>
      <c r="E6" t="s">
        <v>2969</v>
      </c>
      <c r="F6" t="s">
        <v>2961</v>
      </c>
      <c r="G6" t="s">
        <v>113</v>
      </c>
    </row>
    <row r="7" spans="1:7" ht="11.25" customHeight="1">
      <c r="A7" t="s">
        <v>16</v>
      </c>
      <c r="B7" t="s">
        <v>102</v>
      </c>
      <c r="C7" t="s">
        <v>103</v>
      </c>
      <c r="D7" t="s">
        <v>2970</v>
      </c>
      <c r="E7" t="s">
        <v>2971</v>
      </c>
      <c r="F7" t="s">
        <v>2961</v>
      </c>
      <c r="G7" t="s">
        <v>94</v>
      </c>
    </row>
    <row r="8" spans="1:7" ht="11.25" customHeight="1">
      <c r="A8" t="s">
        <v>16</v>
      </c>
      <c r="B8" t="s">
        <v>102</v>
      </c>
      <c r="C8" t="s">
        <v>103</v>
      </c>
      <c r="D8" t="s">
        <v>2972</v>
      </c>
      <c r="E8" t="s">
        <v>2973</v>
      </c>
      <c r="F8" t="s">
        <v>2961</v>
      </c>
      <c r="G8" t="s">
        <v>95</v>
      </c>
    </row>
    <row r="9" spans="1:7" ht="11.25" customHeight="1">
      <c r="A9" t="s">
        <v>16</v>
      </c>
      <c r="B9" t="s">
        <v>102</v>
      </c>
      <c r="C9" t="s">
        <v>103</v>
      </c>
      <c r="D9" t="s">
        <v>2974</v>
      </c>
      <c r="E9" t="s">
        <v>2975</v>
      </c>
      <c r="F9" t="s">
        <v>2961</v>
      </c>
      <c r="G9" t="s">
        <v>114</v>
      </c>
    </row>
    <row r="10" spans="1:7" ht="11.25" customHeight="1">
      <c r="A10" t="s">
        <v>16</v>
      </c>
      <c r="B10" t="s">
        <v>102</v>
      </c>
      <c r="C10" t="s">
        <v>103</v>
      </c>
      <c r="D10" t="s">
        <v>102</v>
      </c>
      <c r="E10" t="s">
        <v>103</v>
      </c>
      <c r="F10" t="s">
        <v>2976</v>
      </c>
      <c r="G10" t="s">
        <v>101</v>
      </c>
    </row>
    <row r="11" spans="1:7" ht="11.25" customHeight="1">
      <c r="A11" t="s">
        <v>16</v>
      </c>
      <c r="B11" t="s">
        <v>102</v>
      </c>
      <c r="C11" t="s">
        <v>103</v>
      </c>
      <c r="D11" t="s">
        <v>2977</v>
      </c>
      <c r="E11" t="s">
        <v>2978</v>
      </c>
      <c r="F11" t="s">
        <v>2961</v>
      </c>
      <c r="G11" t="s">
        <v>150</v>
      </c>
    </row>
    <row r="12" spans="1:7" ht="11.25" customHeight="1">
      <c r="A12" t="s">
        <v>16</v>
      </c>
      <c r="B12" t="s">
        <v>102</v>
      </c>
      <c r="C12" t="s">
        <v>103</v>
      </c>
      <c r="D12" t="s">
        <v>2979</v>
      </c>
      <c r="E12" t="s">
        <v>2980</v>
      </c>
      <c r="F12" t="s">
        <v>2961</v>
      </c>
      <c r="G12" t="s">
        <v>151</v>
      </c>
    </row>
    <row r="13" spans="1:7" ht="11.25" customHeight="1">
      <c r="A13" t="s">
        <v>16</v>
      </c>
      <c r="B13" t="s">
        <v>102</v>
      </c>
      <c r="C13" t="s">
        <v>103</v>
      </c>
      <c r="D13" t="s">
        <v>2981</v>
      </c>
      <c r="E13" t="s">
        <v>2982</v>
      </c>
      <c r="F13" t="s">
        <v>2961</v>
      </c>
      <c r="G13" t="s">
        <v>152</v>
      </c>
    </row>
    <row r="14" spans="1:7" ht="11.25" customHeight="1">
      <c r="A14" t="s">
        <v>16</v>
      </c>
      <c r="B14" t="s">
        <v>102</v>
      </c>
      <c r="C14" t="s">
        <v>103</v>
      </c>
      <c r="D14" t="s">
        <v>2983</v>
      </c>
      <c r="E14" t="s">
        <v>2984</v>
      </c>
      <c r="F14" t="s">
        <v>2961</v>
      </c>
      <c r="G14" t="s">
        <v>153</v>
      </c>
    </row>
    <row r="15" spans="1:7" ht="11.25" customHeight="1">
      <c r="A15" t="s">
        <v>16</v>
      </c>
      <c r="B15" t="s">
        <v>102</v>
      </c>
      <c r="C15" t="s">
        <v>103</v>
      </c>
      <c r="D15" t="s">
        <v>2985</v>
      </c>
      <c r="E15" t="s">
        <v>2986</v>
      </c>
      <c r="F15" t="s">
        <v>2961</v>
      </c>
      <c r="G15" t="s">
        <v>154</v>
      </c>
    </row>
    <row r="16" spans="1:7" ht="11.25" customHeight="1">
      <c r="A16" t="s">
        <v>16</v>
      </c>
      <c r="B16" t="s">
        <v>102</v>
      </c>
      <c r="C16" t="s">
        <v>103</v>
      </c>
      <c r="D16" t="s">
        <v>2987</v>
      </c>
      <c r="E16" t="s">
        <v>2988</v>
      </c>
      <c r="F16" t="s">
        <v>2961</v>
      </c>
      <c r="G16" t="s">
        <v>1495</v>
      </c>
    </row>
    <row r="17" spans="1:7" ht="11.25" customHeight="1">
      <c r="A17" t="s">
        <v>16</v>
      </c>
      <c r="B17" t="s">
        <v>102</v>
      </c>
      <c r="C17" t="s">
        <v>103</v>
      </c>
      <c r="D17" t="s">
        <v>2989</v>
      </c>
      <c r="E17" t="s">
        <v>2990</v>
      </c>
      <c r="F17" t="s">
        <v>2991</v>
      </c>
      <c r="G17" t="s">
        <v>1501</v>
      </c>
    </row>
    <row r="18" spans="1:7" ht="11.25" customHeight="1">
      <c r="A18" t="s">
        <v>16</v>
      </c>
      <c r="B18" t="s">
        <v>102</v>
      </c>
      <c r="C18" t="s">
        <v>103</v>
      </c>
      <c r="D18" t="s">
        <v>2992</v>
      </c>
      <c r="E18" t="s">
        <v>2993</v>
      </c>
      <c r="F18" t="s">
        <v>2991</v>
      </c>
      <c r="G18" t="s">
        <v>1513</v>
      </c>
    </row>
    <row r="19" spans="1:7" ht="11.25" customHeight="1">
      <c r="A19" t="s">
        <v>16</v>
      </c>
      <c r="B19" t="s">
        <v>102</v>
      </c>
      <c r="C19" t="s">
        <v>103</v>
      </c>
      <c r="D19" t="s">
        <v>2994</v>
      </c>
      <c r="E19" t="s">
        <v>2995</v>
      </c>
      <c r="F19" t="s">
        <v>2961</v>
      </c>
      <c r="G19" t="s">
        <v>1527</v>
      </c>
    </row>
    <row r="20" spans="1:7" ht="11.25" customHeight="1">
      <c r="A20" t="s">
        <v>16</v>
      </c>
      <c r="B20" t="s">
        <v>102</v>
      </c>
      <c r="C20" t="s">
        <v>103</v>
      </c>
      <c r="D20" t="s">
        <v>2996</v>
      </c>
      <c r="E20" t="s">
        <v>2997</v>
      </c>
      <c r="F20" t="s">
        <v>2961</v>
      </c>
      <c r="G20" t="s">
        <v>1539</v>
      </c>
    </row>
    <row r="21" spans="1:7" ht="11.25" customHeight="1">
      <c r="A21" t="s">
        <v>16</v>
      </c>
      <c r="B21" t="s">
        <v>102</v>
      </c>
      <c r="C21" t="s">
        <v>103</v>
      </c>
      <c r="D21" t="s">
        <v>2998</v>
      </c>
      <c r="E21" t="s">
        <v>2999</v>
      </c>
      <c r="F21" t="s">
        <v>2961</v>
      </c>
      <c r="G21" t="s">
        <v>1548</v>
      </c>
    </row>
    <row r="22" spans="1:7" ht="11.25" customHeight="1">
      <c r="A22" t="s">
        <v>16</v>
      </c>
      <c r="B22" t="s">
        <v>102</v>
      </c>
      <c r="C22" t="s">
        <v>103</v>
      </c>
      <c r="D22" t="s">
        <v>3000</v>
      </c>
      <c r="E22" t="s">
        <v>3001</v>
      </c>
      <c r="F22" t="s">
        <v>2991</v>
      </c>
      <c r="G22" t="s">
        <v>1564</v>
      </c>
    </row>
    <row r="23" spans="1:7" ht="11.25" customHeight="1">
      <c r="A23" t="s">
        <v>16</v>
      </c>
      <c r="B23" t="s">
        <v>102</v>
      </c>
      <c r="C23" t="s">
        <v>103</v>
      </c>
      <c r="D23" t="s">
        <v>3002</v>
      </c>
      <c r="E23" t="s">
        <v>3003</v>
      </c>
      <c r="F23" t="s">
        <v>2961</v>
      </c>
      <c r="G23" t="s">
        <v>1571</v>
      </c>
    </row>
    <row r="24" spans="1:7" ht="11.25" customHeight="1">
      <c r="A24" t="s">
        <v>16</v>
      </c>
      <c r="B24" t="s">
        <v>102</v>
      </c>
      <c r="C24" t="s">
        <v>103</v>
      </c>
      <c r="D24" t="s">
        <v>3004</v>
      </c>
      <c r="E24" t="s">
        <v>3005</v>
      </c>
      <c r="F24" t="s">
        <v>2991</v>
      </c>
      <c r="G24" t="s">
        <v>1579</v>
      </c>
    </row>
    <row r="25" spans="1:7" ht="11.25" customHeight="1">
      <c r="A25" t="s">
        <v>16</v>
      </c>
      <c r="B25" t="s">
        <v>102</v>
      </c>
      <c r="C25" t="s">
        <v>103</v>
      </c>
      <c r="D25" t="s">
        <v>3006</v>
      </c>
      <c r="E25" t="s">
        <v>3007</v>
      </c>
      <c r="F25" t="s">
        <v>2961</v>
      </c>
      <c r="G25" t="s">
        <v>1586</v>
      </c>
    </row>
    <row r="26" spans="1:7" ht="11.25" customHeight="1">
      <c r="A26" t="s">
        <v>16</v>
      </c>
      <c r="B26" t="s">
        <v>102</v>
      </c>
      <c r="C26" t="s">
        <v>103</v>
      </c>
      <c r="D26" t="s">
        <v>3008</v>
      </c>
      <c r="E26" t="s">
        <v>3009</v>
      </c>
      <c r="F26" t="s">
        <v>2961</v>
      </c>
      <c r="G26" t="s">
        <v>1590</v>
      </c>
    </row>
    <row r="27" spans="1:7" ht="11.25" customHeight="1">
      <c r="A27" t="s">
        <v>16</v>
      </c>
      <c r="B27" t="s">
        <v>102</v>
      </c>
      <c r="C27" t="s">
        <v>103</v>
      </c>
      <c r="D27" t="s">
        <v>3010</v>
      </c>
      <c r="E27" t="s">
        <v>3011</v>
      </c>
      <c r="F27" t="s">
        <v>2961</v>
      </c>
      <c r="G27" t="s">
        <v>1595</v>
      </c>
    </row>
    <row r="28" spans="1:7" ht="11.25" customHeight="1">
      <c r="A28" t="s">
        <v>16</v>
      </c>
      <c r="B28" t="s">
        <v>102</v>
      </c>
      <c r="C28" t="s">
        <v>103</v>
      </c>
      <c r="D28" t="s">
        <v>3012</v>
      </c>
      <c r="E28" t="s">
        <v>3013</v>
      </c>
      <c r="F28" t="s">
        <v>2991</v>
      </c>
      <c r="G28" t="s">
        <v>1603</v>
      </c>
    </row>
    <row r="29" spans="1:7" ht="11.25" customHeight="1">
      <c r="A29" t="s">
        <v>16</v>
      </c>
      <c r="B29" t="s">
        <v>102</v>
      </c>
      <c r="C29" t="s">
        <v>103</v>
      </c>
      <c r="D29" t="s">
        <v>3014</v>
      </c>
      <c r="E29" t="s">
        <v>3015</v>
      </c>
      <c r="F29" t="s">
        <v>2991</v>
      </c>
      <c r="G29" t="s">
        <v>1605</v>
      </c>
    </row>
    <row r="30" spans="1:7" ht="11.25" customHeight="1">
      <c r="A30" t="s">
        <v>16</v>
      </c>
      <c r="B30" t="s">
        <v>102</v>
      </c>
      <c r="C30" t="s">
        <v>103</v>
      </c>
      <c r="D30" t="s">
        <v>3016</v>
      </c>
      <c r="E30" t="s">
        <v>3017</v>
      </c>
      <c r="F30" t="s">
        <v>2961</v>
      </c>
      <c r="G30" t="s">
        <v>1608</v>
      </c>
    </row>
    <row r="31" spans="1:7" ht="11.25" customHeight="1">
      <c r="A31" t="s">
        <v>16</v>
      </c>
      <c r="B31" t="s">
        <v>102</v>
      </c>
      <c r="C31" t="s">
        <v>103</v>
      </c>
      <c r="D31" t="s">
        <v>3018</v>
      </c>
      <c r="E31" t="s">
        <v>3019</v>
      </c>
      <c r="F31" t="s">
        <v>2961</v>
      </c>
      <c r="G31" t="s">
        <v>1613</v>
      </c>
    </row>
    <row r="32" spans="1:7" ht="11.25" customHeight="1">
      <c r="A32" t="s">
        <v>16</v>
      </c>
      <c r="B32" t="s">
        <v>102</v>
      </c>
      <c r="C32" t="s">
        <v>103</v>
      </c>
      <c r="D32" t="s">
        <v>3020</v>
      </c>
      <c r="E32" t="s">
        <v>3021</v>
      </c>
      <c r="F32" t="s">
        <v>2991</v>
      </c>
      <c r="G32" t="s">
        <v>1615</v>
      </c>
    </row>
    <row r="33" spans="1:7" ht="11.25" customHeight="1">
      <c r="A33" t="s">
        <v>16</v>
      </c>
      <c r="B33" t="s">
        <v>102</v>
      </c>
      <c r="C33" t="s">
        <v>103</v>
      </c>
      <c r="D33" t="s">
        <v>3022</v>
      </c>
      <c r="E33" t="s">
        <v>3023</v>
      </c>
      <c r="F33" t="s">
        <v>2961</v>
      </c>
      <c r="G33" t="s">
        <v>1617</v>
      </c>
    </row>
    <row r="34" spans="1:7" ht="11.25" customHeight="1">
      <c r="A34" t="s">
        <v>16</v>
      </c>
      <c r="B34" t="s">
        <v>102</v>
      </c>
      <c r="C34" t="s">
        <v>103</v>
      </c>
      <c r="D34" t="s">
        <v>3024</v>
      </c>
      <c r="E34" t="s">
        <v>3025</v>
      </c>
      <c r="F34" t="s">
        <v>2961</v>
      </c>
      <c r="G34" t="s">
        <v>1619</v>
      </c>
    </row>
    <row r="35" spans="1:7" ht="11.25" customHeight="1">
      <c r="A35" t="s">
        <v>16</v>
      </c>
      <c r="B35" t="s">
        <v>102</v>
      </c>
      <c r="C35" t="s">
        <v>103</v>
      </c>
      <c r="D35" t="s">
        <v>3026</v>
      </c>
      <c r="E35" t="s">
        <v>3027</v>
      </c>
      <c r="F35" t="s">
        <v>2961</v>
      </c>
      <c r="G35" t="s">
        <v>1624</v>
      </c>
    </row>
    <row r="36" spans="1:7" ht="11.25" customHeight="1">
      <c r="A36" t="s">
        <v>16</v>
      </c>
      <c r="B36" t="s">
        <v>102</v>
      </c>
      <c r="C36" t="s">
        <v>103</v>
      </c>
      <c r="D36" t="s">
        <v>3028</v>
      </c>
      <c r="E36" t="s">
        <v>3029</v>
      </c>
      <c r="F36" t="s">
        <v>2991</v>
      </c>
      <c r="G36" t="s">
        <v>1629</v>
      </c>
    </row>
    <row r="37" spans="1:7" ht="11.25" customHeight="1">
      <c r="A37" t="s">
        <v>16</v>
      </c>
      <c r="B37" t="s">
        <v>102</v>
      </c>
      <c r="C37" t="s">
        <v>103</v>
      </c>
      <c r="D37" t="s">
        <v>3030</v>
      </c>
      <c r="E37" t="s">
        <v>3031</v>
      </c>
      <c r="F37" t="s">
        <v>2961</v>
      </c>
      <c r="G37" t="s">
        <v>1633</v>
      </c>
    </row>
    <row r="38" spans="1:7" ht="11.25" customHeight="1">
      <c r="A38" t="s">
        <v>16</v>
      </c>
      <c r="B38" t="s">
        <v>102</v>
      </c>
      <c r="C38" t="s">
        <v>103</v>
      </c>
      <c r="D38" t="s">
        <v>3032</v>
      </c>
      <c r="E38" t="s">
        <v>3033</v>
      </c>
      <c r="F38" t="s">
        <v>2961</v>
      </c>
      <c r="G38" t="s">
        <v>1641</v>
      </c>
    </row>
    <row r="39" spans="1:7" ht="11.25" customHeight="1">
      <c r="A39" t="s">
        <v>16</v>
      </c>
      <c r="B39" t="s">
        <v>102</v>
      </c>
      <c r="C39" t="s">
        <v>103</v>
      </c>
      <c r="D39" t="s">
        <v>3034</v>
      </c>
      <c r="E39" t="s">
        <v>3035</v>
      </c>
      <c r="F39" t="s">
        <v>2961</v>
      </c>
      <c r="G39" t="s">
        <v>1647</v>
      </c>
    </row>
    <row r="40" spans="1:7" ht="11.25" customHeight="1">
      <c r="A40" t="s">
        <v>16</v>
      </c>
      <c r="B40" t="s">
        <v>102</v>
      </c>
      <c r="C40" t="s">
        <v>103</v>
      </c>
      <c r="D40" t="s">
        <v>3036</v>
      </c>
      <c r="E40" t="s">
        <v>3037</v>
      </c>
      <c r="F40" t="s">
        <v>2961</v>
      </c>
      <c r="G40" t="s">
        <v>1652</v>
      </c>
    </row>
    <row r="41" spans="1:7" ht="11.25" customHeight="1">
      <c r="A41" t="s">
        <v>16</v>
      </c>
      <c r="B41" t="s">
        <v>102</v>
      </c>
      <c r="C41" t="s">
        <v>103</v>
      </c>
      <c r="D41" t="s">
        <v>3038</v>
      </c>
      <c r="E41" t="s">
        <v>3039</v>
      </c>
      <c r="F41" t="s">
        <v>2961</v>
      </c>
      <c r="G41" t="s">
        <v>1656</v>
      </c>
    </row>
    <row r="42" spans="1:7" ht="11.25" customHeight="1">
      <c r="A42" t="s">
        <v>16</v>
      </c>
      <c r="B42" t="s">
        <v>102</v>
      </c>
      <c r="C42" t="s">
        <v>103</v>
      </c>
      <c r="D42" t="s">
        <v>3040</v>
      </c>
      <c r="E42" t="s">
        <v>3041</v>
      </c>
      <c r="F42" t="s">
        <v>2961</v>
      </c>
      <c r="G42" t="s">
        <v>1659</v>
      </c>
    </row>
    <row r="43" spans="1:7" ht="11.25" customHeight="1">
      <c r="A43" t="s">
        <v>16</v>
      </c>
      <c r="B43" t="s">
        <v>102</v>
      </c>
      <c r="C43" t="s">
        <v>103</v>
      </c>
      <c r="D43" t="s">
        <v>3042</v>
      </c>
      <c r="E43" t="s">
        <v>3043</v>
      </c>
      <c r="F43" t="s">
        <v>2961</v>
      </c>
      <c r="G43" t="s">
        <v>1666</v>
      </c>
    </row>
    <row r="44" spans="1:7" ht="11.25" customHeight="1">
      <c r="A44" t="s">
        <v>16</v>
      </c>
      <c r="B44" t="s">
        <v>102</v>
      </c>
      <c r="C44" t="s">
        <v>103</v>
      </c>
      <c r="D44" t="s">
        <v>3044</v>
      </c>
      <c r="E44" t="s">
        <v>3045</v>
      </c>
      <c r="F44" t="s">
        <v>2961</v>
      </c>
      <c r="G44" t="s">
        <v>1675</v>
      </c>
    </row>
    <row r="45" spans="1:7" ht="11.25" customHeight="1">
      <c r="A45" t="s">
        <v>16</v>
      </c>
      <c r="B45" t="s">
        <v>102</v>
      </c>
      <c r="C45" t="s">
        <v>103</v>
      </c>
      <c r="D45" t="s">
        <v>3046</v>
      </c>
      <c r="E45" t="s">
        <v>3047</v>
      </c>
      <c r="F45" t="s">
        <v>2961</v>
      </c>
      <c r="G45" t="s">
        <v>1680</v>
      </c>
    </row>
    <row r="46" spans="1:7" ht="11.25" customHeight="1">
      <c r="A46" t="s">
        <v>16</v>
      </c>
      <c r="B46" t="s">
        <v>102</v>
      </c>
      <c r="C46" t="s">
        <v>103</v>
      </c>
      <c r="D46" t="s">
        <v>3048</v>
      </c>
      <c r="E46" t="s">
        <v>3049</v>
      </c>
      <c r="F46" t="s">
        <v>2961</v>
      </c>
      <c r="G46" t="s">
        <v>1684</v>
      </c>
    </row>
    <row r="47" spans="1:7" ht="11.25" customHeight="1">
      <c r="A47" t="s">
        <v>16</v>
      </c>
      <c r="B47" t="s">
        <v>102</v>
      </c>
      <c r="C47" t="s">
        <v>103</v>
      </c>
      <c r="D47" t="s">
        <v>3050</v>
      </c>
      <c r="E47" t="s">
        <v>3051</v>
      </c>
      <c r="F47" t="s">
        <v>2961</v>
      </c>
      <c r="G47" t="s">
        <v>1690</v>
      </c>
    </row>
    <row r="48" spans="1:7" ht="11.25" customHeight="1">
      <c r="A48" t="s">
        <v>16</v>
      </c>
      <c r="B48" t="s">
        <v>102</v>
      </c>
      <c r="C48" t="s">
        <v>103</v>
      </c>
      <c r="D48" t="s">
        <v>3052</v>
      </c>
      <c r="E48" t="s">
        <v>3053</v>
      </c>
      <c r="F48" t="s">
        <v>2991</v>
      </c>
      <c r="G48" t="s">
        <v>1695</v>
      </c>
    </row>
    <row r="49" spans="1:7" ht="11.25" customHeight="1">
      <c r="A49" t="s">
        <v>16</v>
      </c>
      <c r="B49" t="s">
        <v>102</v>
      </c>
      <c r="C49" t="s">
        <v>103</v>
      </c>
      <c r="D49" t="s">
        <v>3054</v>
      </c>
      <c r="E49" t="s">
        <v>3055</v>
      </c>
      <c r="F49" t="s">
        <v>2961</v>
      </c>
      <c r="G49" t="s">
        <v>1698</v>
      </c>
    </row>
    <row r="50" spans="1:7" ht="11.25" customHeight="1">
      <c r="A50" t="s">
        <v>16</v>
      </c>
      <c r="B50" t="s">
        <v>102</v>
      </c>
      <c r="C50" t="s">
        <v>103</v>
      </c>
      <c r="D50" t="s">
        <v>3056</v>
      </c>
      <c r="E50" t="s">
        <v>3057</v>
      </c>
      <c r="F50" t="s">
        <v>2961</v>
      </c>
      <c r="G50" t="s">
        <v>1702</v>
      </c>
    </row>
    <row r="51" spans="1:7" ht="11.25" customHeight="1">
      <c r="A51" t="s">
        <v>16</v>
      </c>
      <c r="B51" t="s">
        <v>102</v>
      </c>
      <c r="C51" t="s">
        <v>103</v>
      </c>
      <c r="D51" t="s">
        <v>3058</v>
      </c>
      <c r="E51" t="s">
        <v>3059</v>
      </c>
      <c r="F51" t="s">
        <v>2991</v>
      </c>
      <c r="G51" t="s">
        <v>1706</v>
      </c>
    </row>
    <row r="52" spans="1:7" ht="11.25" customHeight="1">
      <c r="A52" t="s">
        <v>16</v>
      </c>
      <c r="B52" t="s">
        <v>102</v>
      </c>
      <c r="C52" t="s">
        <v>103</v>
      </c>
      <c r="D52" t="s">
        <v>3060</v>
      </c>
      <c r="E52" t="s">
        <v>3061</v>
      </c>
      <c r="F52" t="s">
        <v>2991</v>
      </c>
      <c r="G52" t="s">
        <v>1710</v>
      </c>
    </row>
    <row r="53" spans="1:7" ht="11.25" customHeight="1">
      <c r="A53" t="s">
        <v>16</v>
      </c>
      <c r="B53" t="s">
        <v>102</v>
      </c>
      <c r="C53" t="s">
        <v>103</v>
      </c>
      <c r="D53" t="s">
        <v>3062</v>
      </c>
      <c r="E53" t="s">
        <v>3063</v>
      </c>
      <c r="F53" t="s">
        <v>2961</v>
      </c>
      <c r="G53" t="s">
        <v>1712</v>
      </c>
    </row>
    <row r="54" spans="1:7" ht="11.25" customHeight="1">
      <c r="A54" t="s">
        <v>16</v>
      </c>
      <c r="B54" t="s">
        <v>102</v>
      </c>
      <c r="C54" t="s">
        <v>103</v>
      </c>
      <c r="D54" t="s">
        <v>3064</v>
      </c>
      <c r="E54" t="s">
        <v>3065</v>
      </c>
      <c r="F54" t="s">
        <v>2961</v>
      </c>
      <c r="G54" t="s">
        <v>1715</v>
      </c>
    </row>
    <row r="55" spans="1:7" ht="11.25" customHeight="1">
      <c r="A55" t="s">
        <v>16</v>
      </c>
      <c r="B55" t="s">
        <v>102</v>
      </c>
      <c r="C55" t="s">
        <v>103</v>
      </c>
      <c r="D55" t="s">
        <v>3066</v>
      </c>
      <c r="E55" t="s">
        <v>3067</v>
      </c>
      <c r="F55" t="s">
        <v>2961</v>
      </c>
      <c r="G55" t="s">
        <v>1719</v>
      </c>
    </row>
    <row r="56" spans="1:7" ht="11.25" customHeight="1">
      <c r="A56" t="s">
        <v>16</v>
      </c>
      <c r="B56" t="s">
        <v>102</v>
      </c>
      <c r="C56" t="s">
        <v>103</v>
      </c>
      <c r="D56" t="s">
        <v>3068</v>
      </c>
      <c r="E56" t="s">
        <v>3069</v>
      </c>
      <c r="F56" t="s">
        <v>2961</v>
      </c>
      <c r="G56" t="s">
        <v>1722</v>
      </c>
    </row>
    <row r="57" spans="1:7" ht="11.25" customHeight="1">
      <c r="A57" t="s">
        <v>16</v>
      </c>
      <c r="B57" t="s">
        <v>102</v>
      </c>
      <c r="C57" t="s">
        <v>103</v>
      </c>
      <c r="D57" t="s">
        <v>3070</v>
      </c>
      <c r="E57" t="s">
        <v>3071</v>
      </c>
      <c r="F57" t="s">
        <v>2961</v>
      </c>
      <c r="G57" t="s">
        <v>1725</v>
      </c>
    </row>
    <row r="58" spans="1:7" ht="11.25" customHeight="1">
      <c r="A58" t="s">
        <v>16</v>
      </c>
      <c r="B58" t="s">
        <v>102</v>
      </c>
      <c r="C58" t="s">
        <v>103</v>
      </c>
      <c r="D58" t="s">
        <v>3072</v>
      </c>
      <c r="E58" t="s">
        <v>3073</v>
      </c>
      <c r="F58" t="s">
        <v>2961</v>
      </c>
      <c r="G58" t="s">
        <v>1728</v>
      </c>
    </row>
    <row r="59" spans="1:7" ht="11.25" customHeight="1">
      <c r="A59" t="s">
        <v>16</v>
      </c>
      <c r="B59" t="s">
        <v>102</v>
      </c>
      <c r="C59" t="s">
        <v>103</v>
      </c>
      <c r="D59" t="s">
        <v>3074</v>
      </c>
      <c r="E59" t="s">
        <v>3075</v>
      </c>
      <c r="F59" t="s">
        <v>2961</v>
      </c>
      <c r="G59" t="s">
        <v>1732</v>
      </c>
    </row>
    <row r="60" spans="1:7" ht="11.25" customHeight="1">
      <c r="A60" t="s">
        <v>16</v>
      </c>
      <c r="B60" t="s">
        <v>102</v>
      </c>
      <c r="C60" t="s">
        <v>103</v>
      </c>
      <c r="D60" t="s">
        <v>3076</v>
      </c>
      <c r="E60" t="s">
        <v>3077</v>
      </c>
      <c r="F60" t="s">
        <v>2961</v>
      </c>
      <c r="G60" t="s">
        <v>1736</v>
      </c>
    </row>
    <row r="61" spans="1:7" ht="11.25" customHeight="1">
      <c r="A61" t="s">
        <v>16</v>
      </c>
      <c r="B61" t="s">
        <v>102</v>
      </c>
      <c r="C61" t="s">
        <v>103</v>
      </c>
      <c r="D61" t="s">
        <v>3078</v>
      </c>
      <c r="E61" t="s">
        <v>3079</v>
      </c>
      <c r="F61" t="s">
        <v>2961</v>
      </c>
      <c r="G61" t="s">
        <v>3080</v>
      </c>
    </row>
    <row r="62" spans="1:7" ht="11.25" customHeight="1">
      <c r="A62" t="s">
        <v>16</v>
      </c>
      <c r="B62" t="s">
        <v>102</v>
      </c>
      <c r="C62" t="s">
        <v>103</v>
      </c>
      <c r="D62" t="s">
        <v>3081</v>
      </c>
      <c r="E62" t="s">
        <v>3082</v>
      </c>
      <c r="F62" t="s">
        <v>2961</v>
      </c>
      <c r="G62" t="s">
        <v>3083</v>
      </c>
    </row>
    <row r="63" spans="1:7" ht="11.25" customHeight="1">
      <c r="A63" t="s">
        <v>16</v>
      </c>
      <c r="B63" t="s">
        <v>102</v>
      </c>
      <c r="C63" t="s">
        <v>103</v>
      </c>
      <c r="D63" t="s">
        <v>3084</v>
      </c>
      <c r="E63" t="s">
        <v>3085</v>
      </c>
      <c r="F63" t="s">
        <v>2961</v>
      </c>
      <c r="G63" t="s">
        <v>3086</v>
      </c>
    </row>
    <row r="64" spans="1:7" ht="11.25" customHeight="1">
      <c r="A64" t="s">
        <v>16</v>
      </c>
      <c r="B64" t="s">
        <v>102</v>
      </c>
      <c r="C64" t="s">
        <v>103</v>
      </c>
      <c r="D64" t="s">
        <v>3087</v>
      </c>
      <c r="E64" t="s">
        <v>3088</v>
      </c>
      <c r="F64" t="s">
        <v>2961</v>
      </c>
      <c r="G64" t="s">
        <v>3089</v>
      </c>
    </row>
    <row r="65" spans="1:7" ht="11.25" customHeight="1">
      <c r="A65" t="s">
        <v>16</v>
      </c>
      <c r="B65" t="s">
        <v>102</v>
      </c>
      <c r="C65" t="s">
        <v>103</v>
      </c>
      <c r="D65" t="s">
        <v>3090</v>
      </c>
      <c r="E65" t="s">
        <v>3091</v>
      </c>
      <c r="F65" t="s">
        <v>2961</v>
      </c>
      <c r="G65" t="s">
        <v>3092</v>
      </c>
    </row>
    <row r="66" spans="1:7" ht="11.25" customHeight="1">
      <c r="A66" t="s">
        <v>16</v>
      </c>
      <c r="B66" t="s">
        <v>102</v>
      </c>
      <c r="C66" t="s">
        <v>103</v>
      </c>
      <c r="D66" t="s">
        <v>3093</v>
      </c>
      <c r="E66" t="s">
        <v>3094</v>
      </c>
      <c r="F66" t="s">
        <v>2961</v>
      </c>
      <c r="G66" t="s">
        <v>3095</v>
      </c>
    </row>
    <row r="67" spans="1:7" ht="11.25" customHeight="1">
      <c r="A67" t="s">
        <v>16</v>
      </c>
      <c r="B67" t="s">
        <v>102</v>
      </c>
      <c r="C67" t="s">
        <v>103</v>
      </c>
      <c r="D67" t="s">
        <v>3096</v>
      </c>
      <c r="E67" t="s">
        <v>3097</v>
      </c>
      <c r="F67" t="s">
        <v>2961</v>
      </c>
      <c r="G67" t="s">
        <v>2056</v>
      </c>
    </row>
    <row r="68" spans="1:7" ht="11.25" customHeight="1">
      <c r="A68" t="s">
        <v>16</v>
      </c>
      <c r="B68" t="s">
        <v>102</v>
      </c>
      <c r="C68" t="s">
        <v>103</v>
      </c>
      <c r="D68" t="s">
        <v>3098</v>
      </c>
      <c r="E68" t="s">
        <v>3099</v>
      </c>
      <c r="F68" t="s">
        <v>2961</v>
      </c>
      <c r="G68" t="s">
        <v>3100</v>
      </c>
    </row>
    <row r="69" spans="1:7" ht="11.25" customHeight="1">
      <c r="A69" t="s">
        <v>16</v>
      </c>
      <c r="B69" t="s">
        <v>102</v>
      </c>
      <c r="C69" t="s">
        <v>103</v>
      </c>
      <c r="D69" t="s">
        <v>3101</v>
      </c>
      <c r="E69" t="s">
        <v>3102</v>
      </c>
      <c r="F69" t="s">
        <v>2961</v>
      </c>
      <c r="G69" t="s">
        <v>2259</v>
      </c>
    </row>
    <row r="70" spans="1:7" ht="11.25" customHeight="1">
      <c r="A70" t="s">
        <v>16</v>
      </c>
      <c r="B70" t="s">
        <v>102</v>
      </c>
      <c r="C70" t="s">
        <v>103</v>
      </c>
      <c r="D70" t="s">
        <v>3103</v>
      </c>
      <c r="E70" t="s">
        <v>3104</v>
      </c>
      <c r="F70" t="s">
        <v>2961</v>
      </c>
      <c r="G70" t="s">
        <v>3105</v>
      </c>
    </row>
    <row r="71" spans="1:7" ht="11.25" customHeight="1">
      <c r="A71" t="s">
        <v>16</v>
      </c>
      <c r="B71" t="s">
        <v>102</v>
      </c>
      <c r="C71" t="s">
        <v>103</v>
      </c>
      <c r="D71" t="s">
        <v>3106</v>
      </c>
      <c r="E71" t="s">
        <v>3107</v>
      </c>
      <c r="F71" t="s">
        <v>2961</v>
      </c>
      <c r="G71" t="s">
        <v>3108</v>
      </c>
    </row>
    <row r="72" spans="1:7" ht="11.25" customHeight="1">
      <c r="A72" t="s">
        <v>16</v>
      </c>
      <c r="B72" t="s">
        <v>102</v>
      </c>
      <c r="C72" t="s">
        <v>103</v>
      </c>
      <c r="D72" t="s">
        <v>3109</v>
      </c>
      <c r="E72" t="s">
        <v>3110</v>
      </c>
      <c r="F72" t="s">
        <v>2961</v>
      </c>
      <c r="G72" t="s">
        <v>3111</v>
      </c>
    </row>
    <row r="73" spans="1:7" ht="11.25" customHeight="1">
      <c r="A73" t="s">
        <v>16</v>
      </c>
      <c r="B73" t="s">
        <v>102</v>
      </c>
      <c r="C73" t="s">
        <v>103</v>
      </c>
      <c r="D73" t="s">
        <v>3112</v>
      </c>
      <c r="E73" t="s">
        <v>3113</v>
      </c>
      <c r="F73" t="s">
        <v>2961</v>
      </c>
      <c r="G73" t="s">
        <v>3114</v>
      </c>
    </row>
    <row r="74" spans="1:7" ht="11.25" customHeight="1">
      <c r="A74" t="s">
        <v>16</v>
      </c>
      <c r="B74" t="s">
        <v>102</v>
      </c>
      <c r="C74" t="s">
        <v>103</v>
      </c>
      <c r="D74" t="s">
        <v>3115</v>
      </c>
      <c r="E74" t="s">
        <v>3116</v>
      </c>
      <c r="F74" t="s">
        <v>2961</v>
      </c>
      <c r="G74" t="s">
        <v>3117</v>
      </c>
    </row>
    <row r="75" spans="1:7" ht="11.25" customHeight="1">
      <c r="A75" t="s">
        <v>16</v>
      </c>
      <c r="B75" t="s">
        <v>102</v>
      </c>
      <c r="C75" t="s">
        <v>103</v>
      </c>
      <c r="D75" t="s">
        <v>3118</v>
      </c>
      <c r="E75" t="s">
        <v>3119</v>
      </c>
      <c r="F75" t="s">
        <v>2961</v>
      </c>
      <c r="G75" t="s">
        <v>3120</v>
      </c>
    </row>
    <row r="76" spans="1:7" ht="11.25" customHeight="1">
      <c r="A76" t="s">
        <v>16</v>
      </c>
      <c r="B76" t="s">
        <v>102</v>
      </c>
      <c r="C76" t="s">
        <v>103</v>
      </c>
      <c r="D76" t="s">
        <v>3121</v>
      </c>
      <c r="E76" t="s">
        <v>3122</v>
      </c>
      <c r="F76" t="s">
        <v>2961</v>
      </c>
      <c r="G76" t="s">
        <v>3123</v>
      </c>
    </row>
    <row r="77" spans="1:7" ht="11.25" customHeight="1">
      <c r="A77" t="s">
        <v>16</v>
      </c>
      <c r="B77" t="s">
        <v>102</v>
      </c>
      <c r="C77" t="s">
        <v>103</v>
      </c>
      <c r="D77" t="s">
        <v>3124</v>
      </c>
      <c r="E77" t="s">
        <v>3125</v>
      </c>
      <c r="F77" t="s">
        <v>2961</v>
      </c>
      <c r="G77" t="s">
        <v>3126</v>
      </c>
    </row>
    <row r="78" spans="1:7" ht="11.25" customHeight="1">
      <c r="A78" t="s">
        <v>16</v>
      </c>
      <c r="B78" t="s">
        <v>102</v>
      </c>
      <c r="C78" t="s">
        <v>103</v>
      </c>
      <c r="D78" t="s">
        <v>3127</v>
      </c>
      <c r="E78" t="s">
        <v>3128</v>
      </c>
      <c r="F78" t="s">
        <v>2961</v>
      </c>
      <c r="G78" t="s">
        <v>3129</v>
      </c>
    </row>
    <row r="79" spans="1:7" ht="11.25" customHeight="1">
      <c r="A79" t="s">
        <v>16</v>
      </c>
      <c r="B79" t="s">
        <v>102</v>
      </c>
      <c r="C79" t="s">
        <v>103</v>
      </c>
      <c r="D79" t="s">
        <v>3130</v>
      </c>
      <c r="E79" t="s">
        <v>3131</v>
      </c>
      <c r="F79" t="s">
        <v>2961</v>
      </c>
      <c r="G79" t="s">
        <v>3132</v>
      </c>
    </row>
    <row r="80" spans="1:7" ht="11.25" customHeight="1">
      <c r="A80" t="s">
        <v>16</v>
      </c>
      <c r="B80" t="s">
        <v>102</v>
      </c>
      <c r="C80" t="s">
        <v>103</v>
      </c>
      <c r="D80" t="s">
        <v>3133</v>
      </c>
      <c r="E80" t="s">
        <v>3134</v>
      </c>
      <c r="F80" t="s">
        <v>2961</v>
      </c>
      <c r="G80" t="s">
        <v>3135</v>
      </c>
    </row>
    <row r="81" spans="1:7" ht="11.25" customHeight="1">
      <c r="A81" t="s">
        <v>16</v>
      </c>
      <c r="B81" t="s">
        <v>102</v>
      </c>
      <c r="C81" t="s">
        <v>103</v>
      </c>
      <c r="D81" t="s">
        <v>3136</v>
      </c>
      <c r="E81" t="s">
        <v>3137</v>
      </c>
      <c r="F81" t="s">
        <v>2991</v>
      </c>
      <c r="G81" t="s">
        <v>3138</v>
      </c>
    </row>
    <row r="82" spans="1:7" ht="11.25" customHeight="1">
      <c r="A82" t="s">
        <v>16</v>
      </c>
      <c r="B82" t="s">
        <v>102</v>
      </c>
      <c r="C82" t="s">
        <v>103</v>
      </c>
      <c r="D82" t="s">
        <v>3139</v>
      </c>
      <c r="E82" t="s">
        <v>3140</v>
      </c>
      <c r="F82" t="s">
        <v>2961</v>
      </c>
      <c r="G82" t="s">
        <v>3141</v>
      </c>
    </row>
    <row r="83" spans="1:7" ht="11.25" customHeight="1">
      <c r="A83" t="s">
        <v>16</v>
      </c>
      <c r="B83" t="s">
        <v>102</v>
      </c>
      <c r="C83" t="s">
        <v>103</v>
      </c>
      <c r="D83" t="s">
        <v>3142</v>
      </c>
      <c r="E83" t="s">
        <v>3143</v>
      </c>
      <c r="F83" t="s">
        <v>2961</v>
      </c>
      <c r="G83" t="s">
        <v>3144</v>
      </c>
    </row>
    <row r="84" spans="1:7" ht="11.25" customHeight="1">
      <c r="A84" t="s">
        <v>16</v>
      </c>
      <c r="B84" t="s">
        <v>102</v>
      </c>
      <c r="C84" t="s">
        <v>103</v>
      </c>
      <c r="D84" t="s">
        <v>3145</v>
      </c>
      <c r="E84" t="s">
        <v>3146</v>
      </c>
      <c r="F84" t="s">
        <v>2961</v>
      </c>
      <c r="G84" t="s">
        <v>3147</v>
      </c>
    </row>
    <row r="85" spans="1:7" ht="11.25" customHeight="1">
      <c r="A85" t="s">
        <v>16</v>
      </c>
      <c r="B85" t="s">
        <v>102</v>
      </c>
      <c r="C85" t="s">
        <v>103</v>
      </c>
      <c r="D85" t="s">
        <v>3148</v>
      </c>
      <c r="E85" t="s">
        <v>3149</v>
      </c>
      <c r="F85" t="s">
        <v>2961</v>
      </c>
      <c r="G85" t="s">
        <v>3150</v>
      </c>
    </row>
    <row r="86" spans="1:7" ht="11.25" customHeight="1">
      <c r="A86" t="s">
        <v>16</v>
      </c>
      <c r="B86" t="s">
        <v>102</v>
      </c>
      <c r="C86" t="s">
        <v>103</v>
      </c>
      <c r="D86" t="s">
        <v>3151</v>
      </c>
      <c r="E86" t="s">
        <v>3152</v>
      </c>
      <c r="F86" t="s">
        <v>2961</v>
      </c>
      <c r="G86" t="s">
        <v>3153</v>
      </c>
    </row>
    <row r="87" spans="1:7" ht="11.25" customHeight="1">
      <c r="A87" t="s">
        <v>16</v>
      </c>
      <c r="B87" t="s">
        <v>102</v>
      </c>
      <c r="C87" t="s">
        <v>103</v>
      </c>
      <c r="D87" t="s">
        <v>3154</v>
      </c>
      <c r="E87" t="s">
        <v>3155</v>
      </c>
      <c r="F87" t="s">
        <v>2961</v>
      </c>
      <c r="G87" t="s">
        <v>3156</v>
      </c>
    </row>
    <row r="88" spans="1:7" ht="11.25" customHeight="1">
      <c r="A88" t="s">
        <v>16</v>
      </c>
      <c r="B88" t="s">
        <v>102</v>
      </c>
      <c r="C88" t="s">
        <v>103</v>
      </c>
      <c r="D88" t="s">
        <v>3157</v>
      </c>
      <c r="E88" t="s">
        <v>3158</v>
      </c>
      <c r="F88" t="s">
        <v>2961</v>
      </c>
      <c r="G88" t="s">
        <v>3159</v>
      </c>
    </row>
    <row r="89" spans="1:7" ht="11.25" customHeight="1">
      <c r="A89" t="s">
        <v>16</v>
      </c>
      <c r="B89" t="s">
        <v>102</v>
      </c>
      <c r="C89" t="s">
        <v>103</v>
      </c>
      <c r="D89" t="s">
        <v>3160</v>
      </c>
      <c r="E89" t="s">
        <v>3161</v>
      </c>
      <c r="F89" t="s">
        <v>2961</v>
      </c>
      <c r="G89" t="s">
        <v>3162</v>
      </c>
    </row>
    <row r="90" spans="1:7" ht="11.25" customHeight="1">
      <c r="A90" t="s">
        <v>16</v>
      </c>
      <c r="B90" t="s">
        <v>102</v>
      </c>
      <c r="C90" t="s">
        <v>103</v>
      </c>
      <c r="D90" t="s">
        <v>3163</v>
      </c>
      <c r="E90" t="s">
        <v>3164</v>
      </c>
      <c r="F90" t="s">
        <v>2961</v>
      </c>
      <c r="G90" t="s">
        <v>3165</v>
      </c>
    </row>
    <row r="91" spans="1:7" ht="11.25" customHeight="1">
      <c r="A91" t="s">
        <v>16</v>
      </c>
      <c r="B91" t="s">
        <v>102</v>
      </c>
      <c r="C91" t="s">
        <v>103</v>
      </c>
      <c r="D91" t="s">
        <v>3166</v>
      </c>
      <c r="E91" t="s">
        <v>3167</v>
      </c>
      <c r="F91" t="s">
        <v>2961</v>
      </c>
      <c r="G91" t="s">
        <v>3168</v>
      </c>
    </row>
    <row r="92" spans="1:7" ht="11.25" customHeight="1">
      <c r="A92" t="s">
        <v>16</v>
      </c>
      <c r="B92" t="s">
        <v>102</v>
      </c>
      <c r="C92" t="s">
        <v>103</v>
      </c>
      <c r="D92" t="s">
        <v>3169</v>
      </c>
      <c r="E92" t="s">
        <v>3170</v>
      </c>
      <c r="F92" t="s">
        <v>2961</v>
      </c>
      <c r="G92" t="s">
        <v>3171</v>
      </c>
    </row>
    <row r="93" spans="1:7" ht="11.25" customHeight="1">
      <c r="A93" t="s">
        <v>16</v>
      </c>
      <c r="B93" t="s">
        <v>102</v>
      </c>
      <c r="C93" t="s">
        <v>103</v>
      </c>
      <c r="D93" t="s">
        <v>3172</v>
      </c>
      <c r="E93" t="s">
        <v>3173</v>
      </c>
      <c r="F93" t="s">
        <v>2961</v>
      </c>
      <c r="G93" t="s">
        <v>3174</v>
      </c>
    </row>
    <row r="94" spans="1:7" ht="11.25" customHeight="1">
      <c r="A94" t="s">
        <v>16</v>
      </c>
      <c r="B94" t="s">
        <v>102</v>
      </c>
      <c r="C94" t="s">
        <v>103</v>
      </c>
      <c r="D94" t="s">
        <v>3175</v>
      </c>
      <c r="E94" t="s">
        <v>3176</v>
      </c>
      <c r="F94" t="s">
        <v>2961</v>
      </c>
      <c r="G94" t="s">
        <v>3177</v>
      </c>
    </row>
    <row r="95" spans="1:7" ht="11.25" customHeight="1">
      <c r="A95" t="s">
        <v>16</v>
      </c>
      <c r="B95" t="s">
        <v>102</v>
      </c>
      <c r="C95" t="s">
        <v>103</v>
      </c>
      <c r="D95" t="s">
        <v>3178</v>
      </c>
      <c r="E95" t="s">
        <v>3179</v>
      </c>
      <c r="F95" t="s">
        <v>2961</v>
      </c>
      <c r="G95" t="s">
        <v>3180</v>
      </c>
    </row>
    <row r="96" spans="1:7" ht="11.25" customHeight="1">
      <c r="A96" t="s">
        <v>16</v>
      </c>
      <c r="B96" t="s">
        <v>102</v>
      </c>
      <c r="C96" t="s">
        <v>103</v>
      </c>
      <c r="D96" t="s">
        <v>3181</v>
      </c>
      <c r="E96" t="s">
        <v>3182</v>
      </c>
      <c r="F96" t="s">
        <v>2961</v>
      </c>
      <c r="G96" t="s">
        <v>3183</v>
      </c>
    </row>
    <row r="97" spans="1:7" ht="11.25" customHeight="1">
      <c r="A97" t="s">
        <v>16</v>
      </c>
      <c r="B97" t="s">
        <v>102</v>
      </c>
      <c r="C97" t="s">
        <v>103</v>
      </c>
      <c r="D97" t="s">
        <v>3184</v>
      </c>
      <c r="E97" t="s">
        <v>3185</v>
      </c>
      <c r="F97" t="s">
        <v>2961</v>
      </c>
      <c r="G97" t="s">
        <v>3186</v>
      </c>
    </row>
    <row r="98" spans="1:7" ht="11.25" customHeight="1">
      <c r="A98" t="s">
        <v>16</v>
      </c>
      <c r="B98" t="s">
        <v>102</v>
      </c>
      <c r="C98" t="s">
        <v>103</v>
      </c>
      <c r="D98" t="s">
        <v>3187</v>
      </c>
      <c r="E98" t="s">
        <v>3188</v>
      </c>
      <c r="F98" t="s">
        <v>2961</v>
      </c>
      <c r="G98" t="s">
        <v>3189</v>
      </c>
    </row>
    <row r="99" spans="1:7" ht="11.25" customHeight="1">
      <c r="A99" t="s">
        <v>16</v>
      </c>
      <c r="B99" t="s">
        <v>102</v>
      </c>
      <c r="C99" t="s">
        <v>103</v>
      </c>
      <c r="D99" t="s">
        <v>3190</v>
      </c>
      <c r="E99" t="s">
        <v>3191</v>
      </c>
      <c r="F99" t="s">
        <v>2961</v>
      </c>
      <c r="G99" t="s">
        <v>3192</v>
      </c>
    </row>
    <row r="100" spans="1:7" ht="11.25" customHeight="1">
      <c r="A100" t="s">
        <v>16</v>
      </c>
      <c r="B100" t="s">
        <v>102</v>
      </c>
      <c r="C100" t="s">
        <v>103</v>
      </c>
      <c r="D100" t="s">
        <v>3193</v>
      </c>
      <c r="E100" t="s">
        <v>3194</v>
      </c>
      <c r="F100" t="s">
        <v>2961</v>
      </c>
      <c r="G100" t="s">
        <v>3195</v>
      </c>
    </row>
    <row r="101" spans="1:7" ht="11.25" customHeight="1">
      <c r="A101" t="s">
        <v>16</v>
      </c>
      <c r="B101" t="s">
        <v>102</v>
      </c>
      <c r="C101" t="s">
        <v>103</v>
      </c>
      <c r="D101" t="s">
        <v>3196</v>
      </c>
      <c r="E101" t="s">
        <v>3197</v>
      </c>
      <c r="F101" t="s">
        <v>2961</v>
      </c>
      <c r="G101" t="s">
        <v>3198</v>
      </c>
    </row>
    <row r="102" spans="1:7" ht="11.25" customHeight="1">
      <c r="A102" t="s">
        <v>16</v>
      </c>
      <c r="B102" t="s">
        <v>102</v>
      </c>
      <c r="C102" t="s">
        <v>103</v>
      </c>
      <c r="D102" t="s">
        <v>3199</v>
      </c>
      <c r="E102" t="s">
        <v>3200</v>
      </c>
      <c r="F102" t="s">
        <v>2961</v>
      </c>
      <c r="G102" t="s">
        <v>3201</v>
      </c>
    </row>
    <row r="103" spans="1:7" ht="11.25" customHeight="1">
      <c r="A103" t="s">
        <v>16</v>
      </c>
      <c r="B103" t="s">
        <v>102</v>
      </c>
      <c r="C103" t="s">
        <v>103</v>
      </c>
      <c r="D103" t="s">
        <v>3202</v>
      </c>
      <c r="E103" t="s">
        <v>3203</v>
      </c>
      <c r="F103" t="s">
        <v>2961</v>
      </c>
      <c r="G103" t="s">
        <v>3204</v>
      </c>
    </row>
    <row r="104" spans="1:7" ht="11.25" customHeight="1">
      <c r="A104" t="s">
        <v>16</v>
      </c>
      <c r="B104" t="s">
        <v>102</v>
      </c>
      <c r="C104" t="s">
        <v>103</v>
      </c>
      <c r="D104" t="s">
        <v>3205</v>
      </c>
      <c r="E104" t="s">
        <v>3206</v>
      </c>
      <c r="F104" t="s">
        <v>2961</v>
      </c>
      <c r="G104" t="s">
        <v>3207</v>
      </c>
    </row>
    <row r="105" spans="1:7" ht="11.25" customHeight="1">
      <c r="A105" t="s">
        <v>16</v>
      </c>
      <c r="B105" t="s">
        <v>102</v>
      </c>
      <c r="C105" t="s">
        <v>103</v>
      </c>
      <c r="D105" t="s">
        <v>3208</v>
      </c>
      <c r="E105" t="s">
        <v>3209</v>
      </c>
      <c r="F105" t="s">
        <v>2961</v>
      </c>
      <c r="G105" t="s">
        <v>3210</v>
      </c>
    </row>
    <row r="106" spans="1:7" ht="11.25" customHeight="1">
      <c r="A106" t="s">
        <v>16</v>
      </c>
      <c r="B106" t="s">
        <v>102</v>
      </c>
      <c r="C106" t="s">
        <v>103</v>
      </c>
      <c r="D106" t="s">
        <v>3211</v>
      </c>
      <c r="E106" t="s">
        <v>3212</v>
      </c>
      <c r="F106" t="s">
        <v>2961</v>
      </c>
      <c r="G106" t="s">
        <v>3213</v>
      </c>
    </row>
    <row r="107" spans="1:7" ht="11.25" customHeight="1">
      <c r="A107" t="s">
        <v>16</v>
      </c>
      <c r="B107" t="s">
        <v>102</v>
      </c>
      <c r="C107" t="s">
        <v>103</v>
      </c>
      <c r="D107" t="s">
        <v>3214</v>
      </c>
      <c r="E107" t="s">
        <v>3215</v>
      </c>
      <c r="F107" t="s">
        <v>2961</v>
      </c>
      <c r="G107" t="s">
        <v>3216</v>
      </c>
    </row>
    <row r="108" spans="1:7" ht="11.25" customHeight="1">
      <c r="A108" t="s">
        <v>16</v>
      </c>
      <c r="B108" t="s">
        <v>102</v>
      </c>
      <c r="C108" t="s">
        <v>103</v>
      </c>
      <c r="D108" t="s">
        <v>3217</v>
      </c>
      <c r="E108" t="s">
        <v>3218</v>
      </c>
      <c r="F108" t="s">
        <v>2961</v>
      </c>
      <c r="G108" t="s">
        <v>3219</v>
      </c>
    </row>
    <row r="109" spans="1:7" ht="11.25" customHeight="1">
      <c r="A109" t="s">
        <v>16</v>
      </c>
      <c r="B109" t="s">
        <v>102</v>
      </c>
      <c r="C109" t="s">
        <v>103</v>
      </c>
      <c r="D109" t="s">
        <v>3220</v>
      </c>
      <c r="E109" t="s">
        <v>3221</v>
      </c>
      <c r="F109" t="s">
        <v>2961</v>
      </c>
      <c r="G109" t="s">
        <v>3222</v>
      </c>
    </row>
    <row r="110" spans="1:7" ht="11.25" customHeight="1">
      <c r="A110" t="s">
        <v>16</v>
      </c>
      <c r="B110" t="s">
        <v>102</v>
      </c>
      <c r="C110" t="s">
        <v>103</v>
      </c>
      <c r="D110" t="s">
        <v>3223</v>
      </c>
      <c r="E110" t="s">
        <v>3224</v>
      </c>
      <c r="F110" t="s">
        <v>2961</v>
      </c>
      <c r="G110" t="s">
        <v>3225</v>
      </c>
    </row>
    <row r="111" spans="1:7" ht="11.25" customHeight="1">
      <c r="A111" t="s">
        <v>16</v>
      </c>
      <c r="B111" t="s">
        <v>102</v>
      </c>
      <c r="C111" t="s">
        <v>103</v>
      </c>
      <c r="D111" t="s">
        <v>3226</v>
      </c>
      <c r="E111" t="s">
        <v>3227</v>
      </c>
      <c r="F111" t="s">
        <v>2961</v>
      </c>
      <c r="G111" t="s">
        <v>3228</v>
      </c>
    </row>
    <row r="112" spans="1:7" ht="11.25" customHeight="1">
      <c r="A112" t="s">
        <v>16</v>
      </c>
      <c r="B112" t="s">
        <v>102</v>
      </c>
      <c r="C112" t="s">
        <v>103</v>
      </c>
      <c r="D112" t="s">
        <v>3229</v>
      </c>
      <c r="E112" t="s">
        <v>3230</v>
      </c>
      <c r="F112" t="s">
        <v>2961</v>
      </c>
      <c r="G112" t="s">
        <v>3231</v>
      </c>
    </row>
    <row r="113" spans="1:7" ht="11.25" customHeight="1">
      <c r="A113" t="s">
        <v>16</v>
      </c>
      <c r="B113" t="s">
        <v>102</v>
      </c>
      <c r="C113" t="s">
        <v>103</v>
      </c>
      <c r="D113" t="s">
        <v>3232</v>
      </c>
      <c r="E113" t="s">
        <v>3233</v>
      </c>
      <c r="F113" t="s">
        <v>2991</v>
      </c>
      <c r="G113" t="s">
        <v>3234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3278</v>
      </c>
      <c r="B1" s="765" t="s">
        <v>3279</v>
      </c>
      <c r="C1" s="765" t="s">
        <v>1205</v>
      </c>
    </row>
    <row r="2" spans="1:3" ht="11.25" customHeight="1">
      <c r="A2" s="765">
        <v>4189678</v>
      </c>
      <c r="B2" s="765" t="s">
        <v>3280</v>
      </c>
      <c r="C2" s="765" t="s">
        <v>3281</v>
      </c>
    </row>
    <row r="3" spans="1:3" ht="11.25" customHeight="1">
      <c r="A3" s="765">
        <v>4190415</v>
      </c>
      <c r="B3" s="765" t="s">
        <v>3282</v>
      </c>
      <c r="C3" s="765" t="s">
        <v>3281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3283</v>
      </c>
      <c r="B1" s="101" t="s">
        <v>3284</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3285</v>
      </c>
      <c r="B1" t="b">
        <v>1</v>
      </c>
    </row>
    <row r="2" spans="1:2" ht="11.25" customHeight="1">
      <c r="A2" t="s">
        <v>3286</v>
      </c>
      <c r="B2" t="b">
        <v>0</v>
      </c>
    </row>
    <row r="3" spans="1:2" ht="11.25" customHeight="1">
      <c r="A3" t="s">
        <v>3287</v>
      </c>
      <c r="B3" t="b">
        <v>1</v>
      </c>
    </row>
    <row r="4" spans="1:2" ht="11.25" customHeight="1">
      <c r="A4" t="s">
        <v>3288</v>
      </c>
      <c r="B4" t="b">
        <v>0</v>
      </c>
    </row>
    <row r="5" spans="1:2" ht="11.25" customHeight="1">
      <c r="A5" t="s">
        <v>3289</v>
      </c>
      <c r="B5" t="b">
        <v>0</v>
      </c>
    </row>
    <row r="6" spans="1:2" ht="11.25" customHeight="1">
      <c r="A6" t="s">
        <v>3290</v>
      </c>
      <c r="B6" t="b">
        <v>0</v>
      </c>
    </row>
    <row r="7" spans="1:2" ht="11.25" customHeight="1">
      <c r="A7" t="s">
        <v>3291</v>
      </c>
      <c r="B7" t="b">
        <v>0</v>
      </c>
    </row>
    <row r="8" spans="1:2" ht="11.25" customHeight="1">
      <c r="A8" t="s">
        <v>3292</v>
      </c>
      <c r="B8" t="b">
        <v>0</v>
      </c>
    </row>
    <row r="9" spans="1:2" ht="11.25" customHeight="1">
      <c r="A9" t="s">
        <v>3293</v>
      </c>
      <c r="B9" t="b">
        <v>1</v>
      </c>
    </row>
    <row r="10" spans="1:2" ht="11.25" customHeight="1">
      <c r="A10" t="s">
        <v>3294</v>
      </c>
      <c r="B10" t="b">
        <v>0</v>
      </c>
    </row>
    <row r="11" spans="1:2" ht="11.25" customHeight="1">
      <c r="A11" t="s">
        <v>3295</v>
      </c>
      <c r="B11" t="b">
        <v>0</v>
      </c>
    </row>
    <row r="12" spans="1:2" ht="11.25" customHeight="1">
      <c r="A12" t="s">
        <v>3296</v>
      </c>
      <c r="B12" t="b">
        <v>0</v>
      </c>
    </row>
    <row r="13" spans="1:2" ht="11.25" customHeight="1">
      <c r="A13" t="s">
        <v>3297</v>
      </c>
      <c r="B13" t="b">
        <v>0</v>
      </c>
    </row>
    <row r="14" spans="1:2" ht="11.25" customHeight="1">
      <c r="A14" t="s">
        <v>3298</v>
      </c>
      <c r="B14" t="b">
        <v>0</v>
      </c>
    </row>
    <row r="15" spans="1:2" ht="11.25" customHeight="1">
      <c r="A15" t="s">
        <v>3299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465"/>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7" t="s">
        <v>3300</v>
      </c>
      <c r="B1" s="7" t="s">
        <v>3301</v>
      </c>
    </row>
    <row r="2" spans="1:2" ht="11.25" customHeight="1">
      <c r="A2" s="4" t="s">
        <v>3302</v>
      </c>
      <c r="B2" s="4" t="s">
        <v>3303</v>
      </c>
    </row>
    <row r="3" spans="1:2" ht="11.25" customHeight="1">
      <c r="A3" s="4" t="s">
        <v>3304</v>
      </c>
      <c r="B3" s="4" t="s">
        <v>3305</v>
      </c>
    </row>
    <row r="4" spans="1:2" ht="11.25" customHeight="1">
      <c r="A4" s="4" t="s">
        <v>3306</v>
      </c>
      <c r="B4" s="4" t="s">
        <v>3307</v>
      </c>
    </row>
    <row r="5" spans="1:2" ht="11.25" customHeight="1">
      <c r="A5" s="4" t="s">
        <v>3308</v>
      </c>
      <c r="B5" s="4" t="s">
        <v>3309</v>
      </c>
    </row>
    <row r="6" spans="1:2" ht="11.25" customHeight="1">
      <c r="A6" s="4" t="s">
        <v>3310</v>
      </c>
      <c r="B6" s="4" t="s">
        <v>3311</v>
      </c>
    </row>
    <row r="7" spans="1:2" ht="11.25" customHeight="1">
      <c r="A7" s="4" t="s">
        <v>3312</v>
      </c>
      <c r="B7" s="4" t="s">
        <v>3313</v>
      </c>
    </row>
    <row r="8" spans="1:2" ht="11.25" customHeight="1">
      <c r="A8" s="4" t="s">
        <v>3314</v>
      </c>
      <c r="B8" s="4" t="s">
        <v>3315</v>
      </c>
    </row>
    <row r="9" spans="1:2" ht="11.25" customHeight="1">
      <c r="A9" s="4" t="s">
        <v>3316</v>
      </c>
      <c r="B9" s="4" t="s">
        <v>3317</v>
      </c>
    </row>
    <row r="10" spans="1:2" ht="11.25" customHeight="1">
      <c r="A10" s="4" t="s">
        <v>3318</v>
      </c>
      <c r="B10" s="4" t="s">
        <v>3319</v>
      </c>
    </row>
    <row r="11" spans="1:2" ht="11.25" customHeight="1">
      <c r="A11" s="4" t="s">
        <v>3320</v>
      </c>
      <c r="B11" s="4" t="s">
        <v>3321</v>
      </c>
    </row>
    <row r="12" spans="1:2" ht="11.25" customHeight="1">
      <c r="A12" s="4" t="s">
        <v>3322</v>
      </c>
      <c r="B12" s="4" t="s">
        <v>3323</v>
      </c>
    </row>
    <row r="13" spans="1:2" ht="11.25" customHeight="1">
      <c r="A13" s="4" t="s">
        <v>3324</v>
      </c>
      <c r="B13" s="4" t="s">
        <v>3325</v>
      </c>
    </row>
    <row r="14" spans="1:2" ht="11.25" customHeight="1">
      <c r="A14" s="4" t="s">
        <v>3326</v>
      </c>
      <c r="B14" s="4" t="s">
        <v>3327</v>
      </c>
    </row>
    <row r="15" spans="1:2" ht="11.25" customHeight="1">
      <c r="A15" s="4" t="s">
        <v>3328</v>
      </c>
      <c r="B15" s="4" t="s">
        <v>3329</v>
      </c>
    </row>
    <row r="16" spans="1:2" ht="11.25" customHeight="1">
      <c r="A16" s="4" t="s">
        <v>3330</v>
      </c>
      <c r="B16" s="4" t="s">
        <v>3331</v>
      </c>
    </row>
    <row r="17" spans="1:2" ht="11.25" customHeight="1">
      <c r="A17" s="4" t="s">
        <v>3332</v>
      </c>
      <c r="B17" s="4" t="s">
        <v>3333</v>
      </c>
    </row>
    <row r="18" spans="1:2" ht="11.25" customHeight="1">
      <c r="A18" s="4" t="s">
        <v>3334</v>
      </c>
      <c r="B18" s="4" t="s">
        <v>3335</v>
      </c>
    </row>
    <row r="19" spans="1:2" ht="11.25" customHeight="1">
      <c r="A19" s="4" t="s">
        <v>3336</v>
      </c>
      <c r="B19" s="4" t="s">
        <v>3337</v>
      </c>
    </row>
    <row r="20" spans="1:2" ht="11.25" customHeight="1">
      <c r="A20" s="4" t="s">
        <v>3338</v>
      </c>
      <c r="B20" s="4" t="s">
        <v>3339</v>
      </c>
    </row>
    <row r="21" spans="1:2" ht="11.25" customHeight="1">
      <c r="A21" s="4" t="s">
        <v>3340</v>
      </c>
      <c r="B21" s="4" t="s">
        <v>3341</v>
      </c>
    </row>
    <row r="22" spans="1:2" ht="11.25" customHeight="1">
      <c r="A22" s="4" t="s">
        <v>3342</v>
      </c>
      <c r="B22" s="4" t="s">
        <v>3343</v>
      </c>
    </row>
    <row r="23" spans="1:2" ht="11.25" customHeight="1">
      <c r="A23" s="4" t="s">
        <v>3344</v>
      </c>
      <c r="B23" s="4" t="s">
        <v>3345</v>
      </c>
    </row>
    <row r="24" spans="1:2" ht="11.25" customHeight="1">
      <c r="A24" s="4" t="s">
        <v>3346</v>
      </c>
      <c r="B24" s="4" t="s">
        <v>3347</v>
      </c>
    </row>
    <row r="25" spans="1:2" ht="11.25" customHeight="1">
      <c r="A25" s="4" t="s">
        <v>3348</v>
      </c>
      <c r="B25" s="4" t="s">
        <v>3349</v>
      </c>
    </row>
    <row r="26" spans="1:2" ht="11.25" customHeight="1">
      <c r="A26" s="4" t="s">
        <v>3350</v>
      </c>
      <c r="B26" s="4" t="s">
        <v>3351</v>
      </c>
    </row>
    <row r="27" spans="1:2" ht="11.25" customHeight="1">
      <c r="A27" s="4" t="s">
        <v>3352</v>
      </c>
      <c r="B27" s="4" t="s">
        <v>3353</v>
      </c>
    </row>
    <row r="28" spans="1:2" ht="11.25" customHeight="1">
      <c r="A28" s="4" t="s">
        <v>3354</v>
      </c>
      <c r="B28" s="4" t="s">
        <v>3355</v>
      </c>
    </row>
    <row r="29" spans="1:2" ht="11.25" customHeight="1">
      <c r="A29" s="4" t="s">
        <v>3356</v>
      </c>
      <c r="B29" s="4" t="s">
        <v>3357</v>
      </c>
    </row>
    <row r="30" spans="1:2" ht="11.25" customHeight="1">
      <c r="A30" s="4" t="s">
        <v>3358</v>
      </c>
      <c r="B30" s="4" t="s">
        <v>3359</v>
      </c>
    </row>
    <row r="31" spans="1:2" ht="11.25" customHeight="1">
      <c r="A31" s="4" t="s">
        <v>3360</v>
      </c>
      <c r="B31" s="4" t="s">
        <v>3361</v>
      </c>
    </row>
    <row r="32" spans="1:2" ht="11.25" customHeight="1">
      <c r="A32" s="4" t="s">
        <v>3362</v>
      </c>
      <c r="B32" s="4" t="s">
        <v>3363</v>
      </c>
    </row>
    <row r="33" spans="1:2" ht="11.25" customHeight="1">
      <c r="A33" s="4" t="s">
        <v>3364</v>
      </c>
      <c r="B33" s="4" t="s">
        <v>3365</v>
      </c>
    </row>
    <row r="34" spans="1:2" ht="11.25" customHeight="1">
      <c r="A34" s="4" t="s">
        <v>3366</v>
      </c>
      <c r="B34" s="4" t="s">
        <v>3367</v>
      </c>
    </row>
    <row r="35" spans="1:2" ht="11.25" customHeight="1">
      <c r="A35" s="4" t="s">
        <v>3368</v>
      </c>
      <c r="B35" s="4" t="s">
        <v>3369</v>
      </c>
    </row>
    <row r="36" spans="1:2" ht="11.25" customHeight="1">
      <c r="A36" s="4" t="s">
        <v>3370</v>
      </c>
      <c r="B36" s="4" t="s">
        <v>3371</v>
      </c>
    </row>
    <row r="37" spans="1:2" ht="11.25" customHeight="1">
      <c r="A37" s="4" t="s">
        <v>3372</v>
      </c>
      <c r="B37" s="4" t="s">
        <v>3373</v>
      </c>
    </row>
    <row r="38" spans="1:2" ht="11.25" customHeight="1">
      <c r="A38" s="4" t="s">
        <v>3374</v>
      </c>
      <c r="B38" s="4" t="s">
        <v>3375</v>
      </c>
    </row>
    <row r="39" spans="1:2" ht="11.25" customHeight="1">
      <c r="A39" s="4" t="s">
        <v>3376</v>
      </c>
      <c r="B39" s="4" t="s">
        <v>3377</v>
      </c>
    </row>
    <row r="40" spans="1:2" ht="11.25" customHeight="1">
      <c r="A40" s="4" t="s">
        <v>3378</v>
      </c>
      <c r="B40" s="4" t="s">
        <v>3379</v>
      </c>
    </row>
    <row r="41" spans="1:2" ht="11.25" customHeight="1">
      <c r="A41" s="4" t="s">
        <v>3380</v>
      </c>
      <c r="B41" s="4" t="s">
        <v>3381</v>
      </c>
    </row>
    <row r="42" spans="1:2" ht="11.25" customHeight="1">
      <c r="A42" s="4" t="s">
        <v>3382</v>
      </c>
      <c r="B42" s="4" t="s">
        <v>3383</v>
      </c>
    </row>
    <row r="43" spans="1:2" ht="11.25" customHeight="1">
      <c r="A43" s="4" t="s">
        <v>3384</v>
      </c>
      <c r="B43" s="4" t="s">
        <v>3385</v>
      </c>
    </row>
    <row r="44" spans="1:2" ht="11.25" customHeight="1">
      <c r="A44" s="4" t="s">
        <v>3386</v>
      </c>
      <c r="B44" s="4" t="s">
        <v>3387</v>
      </c>
    </row>
    <row r="45" spans="1:2" ht="11.25" customHeight="1">
      <c r="A45" s="4" t="s">
        <v>3388</v>
      </c>
      <c r="B45" s="4" t="s">
        <v>3389</v>
      </c>
    </row>
    <row r="46" spans="1:2" ht="11.25" customHeight="1">
      <c r="A46" s="4" t="s">
        <v>3390</v>
      </c>
      <c r="B46" s="4" t="s">
        <v>3391</v>
      </c>
    </row>
    <row r="47" spans="1:2" ht="11.25" customHeight="1">
      <c r="A47" s="4" t="s">
        <v>3392</v>
      </c>
      <c r="B47" s="4" t="s">
        <v>3393</v>
      </c>
    </row>
    <row r="48" spans="1:2" ht="11.25" customHeight="1">
      <c r="A48" s="4" t="s">
        <v>3394</v>
      </c>
      <c r="B48" s="4" t="s">
        <v>3395</v>
      </c>
    </row>
    <row r="49" spans="1:2" ht="11.25" customHeight="1">
      <c r="A49" s="4" t="s">
        <v>3396</v>
      </c>
      <c r="B49" s="4" t="s">
        <v>3397</v>
      </c>
    </row>
    <row r="50" spans="1:2" ht="11.25" customHeight="1">
      <c r="A50" s="4" t="s">
        <v>3398</v>
      </c>
      <c r="B50" s="4" t="s">
        <v>3399</v>
      </c>
    </row>
    <row r="51" spans="1:2" ht="11.25" customHeight="1">
      <c r="A51" s="4" t="s">
        <v>3400</v>
      </c>
      <c r="B51" s="4" t="s">
        <v>3401</v>
      </c>
    </row>
    <row r="52" spans="1:2" ht="11.25" customHeight="1">
      <c r="A52" s="4" t="s">
        <v>3402</v>
      </c>
      <c r="B52" s="4" t="s">
        <v>3403</v>
      </c>
    </row>
    <row r="53" spans="1:2" ht="11.25" customHeight="1">
      <c r="A53" s="4" t="s">
        <v>3404</v>
      </c>
      <c r="B53" s="4" t="s">
        <v>3405</v>
      </c>
    </row>
    <row r="54" spans="1:2" ht="11.25" customHeight="1">
      <c r="A54" s="4" t="s">
        <v>3406</v>
      </c>
      <c r="B54" s="4" t="s">
        <v>3407</v>
      </c>
    </row>
    <row r="55" spans="1:2" ht="11.25" customHeight="1">
      <c r="A55" s="4" t="s">
        <v>3408</v>
      </c>
      <c r="B55" s="4" t="s">
        <v>3409</v>
      </c>
    </row>
    <row r="56" spans="1:2" ht="11.25" customHeight="1">
      <c r="A56" s="4" t="s">
        <v>3410</v>
      </c>
      <c r="B56" s="4" t="s">
        <v>3411</v>
      </c>
    </row>
    <row r="57" spans="1:2" ht="11.25" customHeight="1">
      <c r="A57" s="4" t="s">
        <v>3412</v>
      </c>
      <c r="B57" s="4" t="s">
        <v>3413</v>
      </c>
    </row>
    <row r="58" spans="1:2" ht="11.25" customHeight="1">
      <c r="A58" s="4" t="s">
        <v>3414</v>
      </c>
      <c r="B58" s="4" t="s">
        <v>3415</v>
      </c>
    </row>
    <row r="59" spans="1:2" ht="11.25" customHeight="1">
      <c r="A59" s="4" t="s">
        <v>3416</v>
      </c>
      <c r="B59" s="4" t="s">
        <v>3417</v>
      </c>
    </row>
    <row r="60" spans="1:2" ht="11.25" customHeight="1">
      <c r="A60" s="4" t="s">
        <v>3418</v>
      </c>
      <c r="B60" s="4" t="s">
        <v>3419</v>
      </c>
    </row>
    <row r="61" spans="1:2" ht="11.25" customHeight="1">
      <c r="A61" s="4"/>
      <c r="B61" s="4" t="s">
        <v>3420</v>
      </c>
    </row>
    <row r="62" spans="1:2" ht="11.25" customHeight="1">
      <c r="A62" s="4"/>
      <c r="B62" s="4" t="s">
        <v>3421</v>
      </c>
    </row>
    <row r="63" spans="1:2" ht="11.25" customHeight="1">
      <c r="A63" s="4"/>
      <c r="B63" s="4" t="s">
        <v>3422</v>
      </c>
    </row>
    <row r="64" spans="1:2" ht="11.25" customHeight="1">
      <c r="A64" s="4"/>
      <c r="B64" s="4" t="s">
        <v>3423</v>
      </c>
    </row>
    <row r="65" spans="1:2" ht="11.25" customHeight="1">
      <c r="A65" s="4"/>
      <c r="B65" s="4" t="s">
        <v>3424</v>
      </c>
    </row>
    <row r="66" spans="1:2" ht="11.25" customHeight="1">
      <c r="A66" s="4"/>
      <c r="B66" s="4" t="s">
        <v>3425</v>
      </c>
    </row>
    <row r="67" spans="1:2" ht="11.25" customHeight="1">
      <c r="A67" s="4"/>
      <c r="B67" s="4" t="s">
        <v>3426</v>
      </c>
    </row>
    <row r="68" spans="1:2" ht="11.25" customHeight="1">
      <c r="A68" s="4"/>
      <c r="B68" s="4" t="s">
        <v>3427</v>
      </c>
    </row>
    <row r="69" spans="1:2" ht="11.25" customHeight="1">
      <c r="A69" s="4"/>
      <c r="B69" s="4" t="s">
        <v>3428</v>
      </c>
    </row>
    <row r="70" spans="1:2" ht="11.25" customHeight="1">
      <c r="A70" s="4"/>
      <c r="B70" s="4" t="s">
        <v>3429</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3" t="s">
        <v>3430</v>
      </c>
    </row>
    <row r="2" spans="2:4" ht="90" customHeight="1">
      <c r="B2" s="34" t="s">
        <v>3431</v>
      </c>
    </row>
    <row r="3" spans="2:4" ht="67.5" customHeight="1">
      <c r="B3" s="34" t="s">
        <v>3432</v>
      </c>
    </row>
    <row r="4" spans="2:4" ht="33.75" customHeight="1">
      <c r="B4" s="34" t="s">
        <v>3433</v>
      </c>
    </row>
    <row r="5" spans="2:4" ht="11.25" customHeight="1">
      <c r="B5" s="34" t="s">
        <v>3434</v>
      </c>
    </row>
    <row r="6" spans="2:4" ht="22.5" customHeight="1">
      <c r="B6" s="34" t="s">
        <v>3435</v>
      </c>
    </row>
    <row r="7" spans="2:4" ht="22.5" customHeight="1">
      <c r="B7" s="34" t="s">
        <v>3436</v>
      </c>
    </row>
    <row r="8" spans="2:4" ht="22.5" customHeight="1">
      <c r="B8" s="34" t="s">
        <v>3437</v>
      </c>
    </row>
    <row r="9" spans="2:4" ht="22.5" customHeight="1">
      <c r="B9" s="34" t="s">
        <v>3438</v>
      </c>
    </row>
    <row r="10" spans="2:4" ht="56.25" customHeight="1">
      <c r="B10" s="34" t="s">
        <v>3439</v>
      </c>
    </row>
    <row r="11" spans="2:4" ht="12.75" customHeight="1">
      <c r="B11" s="97" t="s">
        <v>3440</v>
      </c>
    </row>
    <row r="12" spans="2:4" ht="11.25" customHeight="1">
      <c r="B12" s="33" t="s">
        <v>3441</v>
      </c>
    </row>
    <row r="13" spans="2:4" ht="22.5" customHeight="1">
      <c r="B13" s="34" t="s">
        <v>3442</v>
      </c>
    </row>
    <row r="14" spans="2:4" ht="67.5" customHeight="1">
      <c r="B14" s="34" t="s">
        <v>3443</v>
      </c>
    </row>
    <row r="15" spans="2:4" ht="22.5" customHeight="1">
      <c r="B15" s="34" t="s">
        <v>3444</v>
      </c>
    </row>
    <row r="16" spans="2:4" ht="11.25" customHeight="1">
      <c r="B16" s="33" t="s">
        <v>3445</v>
      </c>
      <c r="D16" s="40"/>
    </row>
    <row r="17" spans="1:2" ht="33.75" customHeight="1">
      <c r="B17" s="34" t="s">
        <v>3446</v>
      </c>
    </row>
    <row r="18" spans="1:2" ht="33.75" customHeight="1">
      <c r="B18" s="34" t="s">
        <v>3447</v>
      </c>
    </row>
    <row r="19" spans="1:2" ht="11.25" customHeight="1">
      <c r="B19" s="34" t="s">
        <v>3448</v>
      </c>
    </row>
    <row r="20" spans="1:2" ht="33.75" customHeight="1">
      <c r="B20" s="34" t="s">
        <v>3449</v>
      </c>
    </row>
    <row r="21" spans="1:2" ht="11.25" customHeight="1">
      <c r="B21" s="33" t="s">
        <v>3450</v>
      </c>
    </row>
    <row r="22" spans="1:2" ht="11.25" customHeight="1">
      <c r="B22" s="34" t="s">
        <v>3451</v>
      </c>
    </row>
    <row r="24" spans="1:2" ht="22.5" customHeight="1">
      <c r="B24" s="99" t="s">
        <v>3452</v>
      </c>
    </row>
    <row r="26" spans="1:2" ht="11.25" customHeight="1">
      <c r="B26" s="33" t="s">
        <v>3453</v>
      </c>
    </row>
    <row r="27" spans="1:2" ht="22.5" customHeight="1">
      <c r="B27" s="98" t="s">
        <v>423</v>
      </c>
    </row>
    <row r="28" spans="1:2" ht="56.25" customHeight="1">
      <c r="B28" s="98" t="s">
        <v>3454</v>
      </c>
    </row>
    <row r="29" spans="1:2" ht="11.25" customHeight="1">
      <c r="B29" s="148" t="s">
        <v>3455</v>
      </c>
    </row>
    <row r="30" spans="1:2" ht="22.5" customHeight="1">
      <c r="B30" s="98" t="s">
        <v>3456</v>
      </c>
    </row>
    <row r="32" spans="1:2" ht="11.25" customHeight="1">
      <c r="A32" s="126"/>
      <c r="B32" s="127" t="s">
        <v>3457</v>
      </c>
    </row>
    <row r="33" spans="1:2" ht="14.25" customHeight="1">
      <c r="A33" s="128">
        <v>1</v>
      </c>
      <c r="B33" s="129" t="s">
        <v>3458</v>
      </c>
    </row>
    <row r="34" spans="1:2" ht="14.25" customHeight="1">
      <c r="A34" s="128">
        <v>2</v>
      </c>
      <c r="B34" s="129" t="s">
        <v>3459</v>
      </c>
    </row>
    <row r="35" spans="1:2" ht="11.25" customHeight="1">
      <c r="B35" s="127" t="s">
        <v>3460</v>
      </c>
    </row>
    <row r="36" spans="1:2" ht="11.25" customHeight="1">
      <c r="B36" s="129" t="s">
        <v>3461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5356" t="s">
        <v>379</v>
      </c>
      <c r="I1" s="5356"/>
      <c r="V1" s="1533" t="s">
        <v>14</v>
      </c>
    </row>
    <row r="2" spans="1:22" s="1561" customFormat="1" ht="14.25" hidden="1" customHeight="1">
      <c r="C2" s="1545"/>
      <c r="D2" s="5360" t="s">
        <v>111</v>
      </c>
      <c r="E2" s="5362"/>
      <c r="F2" s="1551"/>
      <c r="G2" s="1546" t="s">
        <v>111</v>
      </c>
      <c r="H2" s="1549"/>
      <c r="I2" s="1547"/>
      <c r="L2" s="1548"/>
      <c r="M2" s="1548"/>
      <c r="N2" s="1548"/>
      <c r="O2" s="1548" t="s">
        <v>409</v>
      </c>
      <c r="P2" s="1548"/>
      <c r="Q2" s="1548"/>
      <c r="R2" s="1550" t="s">
        <v>408</v>
      </c>
      <c r="S2" s="1550" t="s">
        <v>408</v>
      </c>
      <c r="T2" s="1548"/>
      <c r="U2" s="1548"/>
      <c r="V2" s="1544">
        <v>0</v>
      </c>
    </row>
    <row r="3" spans="1:22" s="1561" customFormat="1" ht="14.25" hidden="1" customHeight="1">
      <c r="C3" s="1545"/>
      <c r="D3" s="5361"/>
      <c r="E3" s="5363"/>
      <c r="F3" s="341"/>
      <c r="G3" s="799"/>
      <c r="H3" s="799" t="s">
        <v>410</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383</v>
      </c>
      <c r="I5" s="638"/>
      <c r="J5" s="638"/>
      <c r="L5" s="1540"/>
      <c r="M5" s="1540"/>
      <c r="N5" s="1540"/>
      <c r="O5" s="1540"/>
      <c r="P5" s="1540"/>
      <c r="Q5" s="1540"/>
      <c r="R5" s="1540"/>
      <c r="S5" s="1540"/>
      <c r="T5" s="1540"/>
      <c r="U5" s="1540"/>
      <c r="V5" s="1539">
        <v>5</v>
      </c>
    </row>
    <row r="6" spans="1:22" ht="29.25" customHeight="1">
      <c r="C6" s="1442"/>
      <c r="D6" s="5359" t="s">
        <v>411</v>
      </c>
      <c r="E6" s="5359"/>
      <c r="F6" s="5359"/>
      <c r="G6" s="5359"/>
      <c r="H6" s="5359"/>
      <c r="I6" s="5359"/>
      <c r="J6" s="427"/>
      <c r="K6" s="1541"/>
      <c r="V6" s="1533">
        <v>28</v>
      </c>
    </row>
    <row r="7" spans="1:22" ht="18" customHeight="1">
      <c r="C7" s="1442"/>
      <c r="D7" s="5331" t="str">
        <f>IF(org=0,"Не определено",org)</f>
        <v>ПАО "ТГК-1" филиал "Невский"</v>
      </c>
      <c r="E7" s="5331"/>
      <c r="F7" s="5331"/>
      <c r="G7" s="5331"/>
      <c r="H7" s="5331"/>
      <c r="I7" s="5331"/>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5344" t="s">
        <v>327</v>
      </c>
      <c r="E10" s="5357"/>
      <c r="F10" s="5357"/>
      <c r="G10" s="5357"/>
      <c r="H10" s="5357"/>
      <c r="I10" s="5357"/>
      <c r="J10" s="5300" t="s">
        <v>328</v>
      </c>
      <c r="V10" s="1533">
        <v>14</v>
      </c>
    </row>
    <row r="11" spans="1:22" ht="27.4" customHeight="1">
      <c r="C11" s="1442"/>
      <c r="D11" s="5235" t="s">
        <v>90</v>
      </c>
      <c r="E11" s="5300" t="s">
        <v>107</v>
      </c>
      <c r="F11" s="5312" t="s">
        <v>90</v>
      </c>
      <c r="G11" s="5313"/>
      <c r="H11" s="5311" t="s">
        <v>412</v>
      </c>
      <c r="I11" s="5311" t="s">
        <v>413</v>
      </c>
      <c r="J11" s="5300"/>
      <c r="V11" s="1533">
        <v>26</v>
      </c>
    </row>
    <row r="12" spans="1:22" ht="14.65" customHeight="1">
      <c r="C12" s="1442"/>
      <c r="D12" s="5235"/>
      <c r="E12" s="5300"/>
      <c r="F12" s="5317"/>
      <c r="G12" s="5318"/>
      <c r="H12" s="5364"/>
      <c r="I12" s="5364"/>
      <c r="J12" s="5300"/>
      <c r="V12" s="1533">
        <v>14</v>
      </c>
    </row>
    <row r="13" spans="1:22" s="1567" customFormat="1" ht="11.25" hidden="1" customHeight="1">
      <c r="C13" s="434"/>
      <c r="D13" s="435" t="s">
        <v>403</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5360" t="s">
        <v>111</v>
      </c>
      <c r="E14" s="5362"/>
      <c r="F14" s="1543"/>
      <c r="G14" s="1542" t="s">
        <v>111</v>
      </c>
      <c r="H14" s="1549"/>
      <c r="I14" s="1547"/>
      <c r="J14" s="5281" t="s">
        <v>414</v>
      </c>
      <c r="K14" s="1533"/>
      <c r="R14" s="436" t="s">
        <v>408</v>
      </c>
      <c r="S14" s="436" t="s">
        <v>408</v>
      </c>
      <c r="V14" s="1533">
        <v>14</v>
      </c>
    </row>
    <row r="15" spans="1:22" ht="14.65" customHeight="1">
      <c r="A15" s="1533"/>
      <c r="C15" s="1442"/>
      <c r="D15" s="5361"/>
      <c r="E15" s="5363"/>
      <c r="F15" s="341"/>
      <c r="G15" s="799"/>
      <c r="H15" s="799" t="s">
        <v>410</v>
      </c>
      <c r="I15" s="250"/>
      <c r="J15" s="5282"/>
      <c r="K15" s="1533"/>
      <c r="R15" s="436"/>
      <c r="S15" s="436"/>
      <c r="V15" s="1533">
        <v>14</v>
      </c>
    </row>
    <row r="16" spans="1:22" ht="14.65" customHeight="1">
      <c r="A16" s="1533"/>
      <c r="C16" s="1442"/>
      <c r="D16" s="341"/>
      <c r="E16" s="799" t="s">
        <v>123</v>
      </c>
      <c r="F16" s="250"/>
      <c r="G16" s="250"/>
      <c r="H16" s="342"/>
      <c r="I16" s="342"/>
      <c r="J16" s="5283"/>
      <c r="K16" s="1533"/>
      <c r="V16" s="1533">
        <v>14</v>
      </c>
    </row>
    <row r="17" spans="1:22" ht="14.65" customHeight="1">
      <c r="K17" s="1533"/>
      <c r="V17" s="1533">
        <v>14</v>
      </c>
    </row>
    <row r="18" spans="1:22" ht="22.5" hidden="1" customHeight="1">
      <c r="A18" s="1534" t="s">
        <v>84</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2213</vt:i4>
      </vt:variant>
    </vt:vector>
  </HeadingPairs>
  <TitlesOfParts>
    <vt:vector size="230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pt_ist_te_30</vt:lpstr>
      <vt:lpstr>pt_ist_te_31</vt:lpstr>
      <vt:lpstr>pt_ist_te_32</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pt_ntar_301</vt:lpstr>
      <vt:lpstr>pt_ntar_3011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Чунина Александра Сергеевна</cp:lastModifiedBy>
  <cp:lastPrinted>2013-08-29T08:11:20Z</cp:lastPrinted>
  <dcterms:created xsi:type="dcterms:W3CDTF">2004-05-21T07:18:45Z</dcterms:created>
  <dcterms:modified xsi:type="dcterms:W3CDTF">2025-01-31T08:24:05Z</dcterms:modified>
</cp:coreProperties>
</file>